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+General\ESTADISTICAS ISA\PRESUPUESTOS\PRESUPUESTOS 2025\Anexo Presupuesto I+D  01.01.25\3. Actualización definitiva MEI, topes y SMI 2025_publicada 04.03.25\"/>
    </mc:Choice>
  </mc:AlternateContent>
  <xr:revisionPtr revIDLastSave="0" documentId="13_ncr:1_{E6E582F7-78FF-4CEA-8612-7A6C749FF545}" xr6:coauthVersionLast="47" xr6:coauthVersionMax="47" xr10:uidLastSave="{00000000-0000-0000-0000-000000000000}"/>
  <workbookProtection workbookAlgorithmName="SHA-512" workbookHashValue="44MoI+eUomDIuA1z+TduQkqMR5Ipo7daYkwYlKPmqkTjoM8e7zyjM3U9hgeCw8CfkUTwhF8P3VKPm1Nl4FAzAQ==" workbookSaltValue="YIgI2t4d5ZsaVnxwfAZ7vA==" workbookSpinCount="100000" lockStructure="1"/>
  <bookViews>
    <workbookView xWindow="-120" yWindow="-120" windowWidth="29040" windowHeight="15840" tabRatio="859" xr2:uid="{00000000-000D-0000-FFFF-FFFF00000000}"/>
  </bookViews>
  <sheets>
    <sheet name="INVESTIGADOR SENIOR" sheetId="7" r:id="rId1"/>
    <sheet name="INVESTIGADOR JUNIOR" sheetId="13" r:id="rId2"/>
    <sheet name="INVEST. EN FORMACIÓN-PRÁCTICAS" sheetId="14" state="hidden" r:id="rId3"/>
    <sheet name="TITULADOS SUPERIORES I" sheetId="12" r:id="rId4"/>
    <sheet name="TITULADOS SUPERIORES II" sheetId="11" r:id="rId5"/>
    <sheet name="TITULADOS DE GRADO MEDIO" sheetId="5" r:id="rId6"/>
    <sheet name="ESPECIALISTAS TECNICOS" sheetId="4" r:id="rId7"/>
    <sheet name="AUXILIARES" sheetId="2" r:id="rId8"/>
    <sheet name="PARAMETROS" sheetId="3" state="hidden" r:id="rId9"/>
  </sheets>
  <definedNames>
    <definedName name="_xlnm.Print_Area" localSheetId="7">AUXILIARES!$A$2:$D$39</definedName>
    <definedName name="_xlnm.Print_Area" localSheetId="2">'INVEST. EN FORMACIÓN-PRÁCTICAS'!$A$2:$C$10</definedName>
    <definedName name="_xlnm.Print_Area" localSheetId="1">'INVESTIGADOR JUNIOR'!$A$2:$G$40</definedName>
    <definedName name="_xlnm.Print_Area" localSheetId="0">'INVESTIGADOR SENIOR'!$A$2:$G$40</definedName>
    <definedName name="_xlnm.Print_Area" localSheetId="5">'TITULADOS DE GRADO MEDIO'!$A$2:$G$40</definedName>
    <definedName name="_xlnm.Print_Area" localSheetId="3">'TITULADOS SUPERIORES I'!$A$2:$G$40</definedName>
    <definedName name="_xlnm.Print_Area" localSheetId="4">'TITULADOS SUPERIORES II'!$A$2:$G$40</definedName>
    <definedName name="RETRIBUCION">#REF!</definedName>
    <definedName name="_xlnm.Print_Titles" localSheetId="7">AUXILIARES!$2:$2</definedName>
    <definedName name="_xlnm.Print_Titles" localSheetId="2">'INVEST. EN FORMACIÓN-PRÁCTICAS'!$2:$3</definedName>
    <definedName name="_xlnm.Print_Titles" localSheetId="1">'INVESTIGADOR JUNIOR'!$2:$3</definedName>
    <definedName name="_xlnm.Print_Titles" localSheetId="0">'INVESTIGADOR SENIOR'!$2:$3</definedName>
    <definedName name="_xlnm.Print_Titles" localSheetId="5">'TITULADOS DE GRADO MEDIO'!$2:$3</definedName>
    <definedName name="_xlnm.Print_Titles" localSheetId="3">'TITULADOS SUPERIORES I'!$2:$3</definedName>
    <definedName name="_xlnm.Print_Titles" localSheetId="4">'TITULADOS SUPERIORES II'!$2:$3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4" l="1"/>
  <c r="F32" i="3"/>
  <c r="F20" i="3"/>
  <c r="E63" i="3" l="1"/>
  <c r="E64" i="3"/>
  <c r="E62" i="3"/>
  <c r="D64" i="3"/>
  <c r="D63" i="3"/>
  <c r="D62" i="3"/>
  <c r="E59" i="3"/>
  <c r="E58" i="3"/>
  <c r="D59" i="3"/>
  <c r="D58" i="3"/>
  <c r="F17" i="3" l="1"/>
  <c r="F21" i="3" s="1"/>
  <c r="K18" i="11" l="1"/>
  <c r="B8" i="14" l="1"/>
  <c r="C8" i="14" s="1"/>
  <c r="B7" i="14"/>
  <c r="D7" i="14" s="1"/>
  <c r="B6" i="14"/>
  <c r="D6" i="14" s="1"/>
  <c r="B5" i="14"/>
  <c r="D5" i="14" s="1"/>
  <c r="D4" i="14"/>
  <c r="C4" i="14"/>
  <c r="C5" i="14" l="1"/>
  <c r="C6" i="14"/>
  <c r="C7" i="14"/>
  <c r="D8" i="14"/>
  <c r="B10" i="14"/>
  <c r="D10" i="14" s="1"/>
  <c r="F32" i="2"/>
  <c r="F32" i="4"/>
  <c r="I32" i="5"/>
  <c r="I32" i="11"/>
  <c r="I32" i="12"/>
  <c r="I32" i="13"/>
  <c r="I32" i="7"/>
  <c r="C10" i="14" l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B14" i="3" l="1"/>
  <c r="B15" i="3" s="1"/>
  <c r="G22" i="14" l="1"/>
  <c r="I22" i="14" s="1"/>
  <c r="G11" i="14"/>
  <c r="G20" i="14"/>
  <c r="H24" i="14"/>
  <c r="H13" i="14" l="1"/>
  <c r="I11" i="14"/>
  <c r="G9" i="14"/>
  <c r="I9" i="14" s="1"/>
  <c r="I13" i="14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" i="2"/>
  <c r="H18" i="4" l="1"/>
  <c r="H18" i="2"/>
  <c r="G32" i="2"/>
  <c r="I32" i="2" s="1"/>
  <c r="I34" i="2" s="1"/>
  <c r="G16" i="2"/>
  <c r="I16" i="2" s="1"/>
  <c r="G14" i="2"/>
  <c r="I14" i="2" s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" i="4"/>
  <c r="G32" i="4"/>
  <c r="I32" i="4" s="1"/>
  <c r="I34" i="4" s="1"/>
  <c r="I14" i="4"/>
  <c r="G16" i="4"/>
  <c r="I16" i="4" s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5" i="5"/>
  <c r="J32" i="5"/>
  <c r="L32" i="5" s="1"/>
  <c r="L34" i="5" s="1"/>
  <c r="K18" i="5"/>
  <c r="J16" i="5"/>
  <c r="L16" i="5" s="1"/>
  <c r="J14" i="5"/>
  <c r="L14" i="5" s="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5" i="11"/>
  <c r="J32" i="11"/>
  <c r="L32" i="11" s="1"/>
  <c r="L34" i="11" s="1"/>
  <c r="J16" i="11"/>
  <c r="L16" i="11" s="1"/>
  <c r="J14" i="11"/>
  <c r="L14" i="11" s="1"/>
  <c r="J32" i="12"/>
  <c r="L32" i="12" s="1"/>
  <c r="L34" i="12" s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5" i="12"/>
  <c r="K18" i="12"/>
  <c r="J16" i="12"/>
  <c r="L16" i="12" s="1"/>
  <c r="J14" i="12"/>
  <c r="L14" i="12" s="1"/>
  <c r="L18" i="12" l="1"/>
  <c r="L18" i="11"/>
  <c r="I18" i="2"/>
  <c r="I18" i="4"/>
  <c r="L18" i="5"/>
  <c r="J32" i="13"/>
  <c r="L32" i="13" s="1"/>
  <c r="L34" i="13" s="1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5" i="13"/>
  <c r="K18" i="13"/>
  <c r="J16" i="13"/>
  <c r="L16" i="13" s="1"/>
  <c r="J14" i="13"/>
  <c r="L14" i="13" s="1"/>
  <c r="L18" i="13" l="1"/>
  <c r="J32" i="7" l="1"/>
  <c r="L32" i="7" s="1"/>
  <c r="L34" i="7" l="1"/>
  <c r="K18" i="7" l="1"/>
  <c r="J16" i="7" l="1"/>
  <c r="L16" i="7" s="1"/>
  <c r="J14" i="7"/>
  <c r="L14" i="7" s="1"/>
  <c r="L18" i="7" l="1"/>
  <c r="C49" i="3" l="1"/>
  <c r="C50" i="3" s="1"/>
  <c r="B49" i="3"/>
  <c r="C42" i="3"/>
  <c r="B42" i="3"/>
  <c r="C35" i="3"/>
  <c r="C36" i="3" s="1"/>
  <c r="B35" i="3"/>
  <c r="C21" i="3"/>
  <c r="C22" i="3" s="1"/>
  <c r="B21" i="3"/>
  <c r="B22" i="3" s="1"/>
  <c r="C14" i="3"/>
  <c r="C15" i="3" s="1"/>
  <c r="C28" i="3"/>
  <c r="C30" i="3" s="1"/>
  <c r="C4" i="3" s="1"/>
  <c r="B28" i="3"/>
  <c r="B30" i="3" s="1"/>
  <c r="B4" i="3" s="1"/>
  <c r="F29" i="3"/>
  <c r="C51" i="3" l="1"/>
  <c r="F33" i="3"/>
  <c r="C23" i="3"/>
  <c r="C24" i="3" s="1"/>
  <c r="B43" i="3"/>
  <c r="B44" i="3" s="1"/>
  <c r="C37" i="3"/>
  <c r="C43" i="3"/>
  <c r="C44" i="3" s="1"/>
  <c r="B36" i="3"/>
  <c r="B37" i="3" s="1"/>
  <c r="B50" i="3"/>
  <c r="B51" i="3" s="1"/>
  <c r="B16" i="3"/>
  <c r="C16" i="3"/>
  <c r="B23" i="3"/>
  <c r="B24" i="3" s="1"/>
  <c r="B8" i="3" l="1"/>
  <c r="F34" i="3"/>
  <c r="B9" i="3"/>
  <c r="B3" i="2" s="1"/>
  <c r="D3" i="2" s="1"/>
  <c r="F22" i="3"/>
  <c r="C7" i="3"/>
  <c r="F4" i="5" s="1"/>
  <c r="F20" i="5" s="1"/>
  <c r="G20" i="5" s="1"/>
  <c r="C52" i="3"/>
  <c r="C6" i="3"/>
  <c r="F4" i="11" s="1"/>
  <c r="G4" i="11" s="1"/>
  <c r="C45" i="3"/>
  <c r="C5" i="3"/>
  <c r="F4" i="12" s="1"/>
  <c r="F32" i="12" s="1"/>
  <c r="G32" i="12" s="1"/>
  <c r="C38" i="3"/>
  <c r="B7" i="3"/>
  <c r="B4" i="5" s="1"/>
  <c r="B52" i="3"/>
  <c r="B6" i="3"/>
  <c r="B4" i="11" s="1"/>
  <c r="B38" i="11" s="1"/>
  <c r="D38" i="11" s="1"/>
  <c r="B45" i="3"/>
  <c r="B5" i="3"/>
  <c r="B4" i="12" s="1"/>
  <c r="B39" i="12" s="1"/>
  <c r="D39" i="12" s="1"/>
  <c r="B38" i="3"/>
  <c r="C2" i="3"/>
  <c r="F4" i="7" s="1"/>
  <c r="C17" i="3"/>
  <c r="B2" i="3"/>
  <c r="B4" i="7" s="1"/>
  <c r="B21" i="7" s="1"/>
  <c r="D21" i="7" s="1"/>
  <c r="B17" i="3"/>
  <c r="B24" i="4"/>
  <c r="D24" i="4" s="1"/>
  <c r="B39" i="4"/>
  <c r="D39" i="4" s="1"/>
  <c r="F20" i="12"/>
  <c r="G20" i="12" s="1"/>
  <c r="F16" i="12"/>
  <c r="G16" i="12" s="1"/>
  <c r="F28" i="12"/>
  <c r="G28" i="12" s="1"/>
  <c r="F12" i="12"/>
  <c r="G12" i="12" s="1"/>
  <c r="F24" i="12"/>
  <c r="G24" i="12" s="1"/>
  <c r="F8" i="12"/>
  <c r="G8" i="12" s="1"/>
  <c r="F36" i="12"/>
  <c r="G36" i="12" s="1"/>
  <c r="B34" i="4"/>
  <c r="D34" i="4" s="1"/>
  <c r="B22" i="4"/>
  <c r="D22" i="4" s="1"/>
  <c r="B3" i="4"/>
  <c r="D3" i="4" s="1"/>
  <c r="B33" i="4"/>
  <c r="D33" i="4" s="1"/>
  <c r="B26" i="4"/>
  <c r="D26" i="4" s="1"/>
  <c r="B37" i="4"/>
  <c r="D37" i="4" s="1"/>
  <c r="B25" i="4"/>
  <c r="D25" i="4" s="1"/>
  <c r="B36" i="4"/>
  <c r="D36" i="4" s="1"/>
  <c r="B18" i="4"/>
  <c r="D18" i="4" s="1"/>
  <c r="B29" i="4"/>
  <c r="D29" i="4" s="1"/>
  <c r="B23" i="4"/>
  <c r="D23" i="4" s="1"/>
  <c r="B17" i="4"/>
  <c r="D17" i="4" s="1"/>
  <c r="B28" i="4"/>
  <c r="D28" i="4" s="1"/>
  <c r="B38" i="4"/>
  <c r="D38" i="4" s="1"/>
  <c r="B27" i="4"/>
  <c r="D27" i="4" s="1"/>
  <c r="B21" i="4"/>
  <c r="D21" i="4" s="1"/>
  <c r="B32" i="4"/>
  <c r="D32" i="4" s="1"/>
  <c r="B31" i="4"/>
  <c r="D31" i="4" s="1"/>
  <c r="B20" i="4"/>
  <c r="D20" i="4" s="1"/>
  <c r="B30" i="4"/>
  <c r="D30" i="4" s="1"/>
  <c r="B19" i="4"/>
  <c r="D19" i="4" s="1"/>
  <c r="B38" i="5"/>
  <c r="D38" i="5" s="1"/>
  <c r="B34" i="5"/>
  <c r="D34" i="5" s="1"/>
  <c r="B30" i="5"/>
  <c r="D30" i="5" s="1"/>
  <c r="B26" i="5"/>
  <c r="D26" i="5" s="1"/>
  <c r="B22" i="5"/>
  <c r="D22" i="5" s="1"/>
  <c r="B18" i="5"/>
  <c r="D18" i="5" s="1"/>
  <c r="B14" i="5"/>
  <c r="D14" i="5" s="1"/>
  <c r="B10" i="5"/>
  <c r="D10" i="5" s="1"/>
  <c r="B6" i="5"/>
  <c r="D6" i="5" s="1"/>
  <c r="B9" i="5"/>
  <c r="D9" i="5" s="1"/>
  <c r="B25" i="5"/>
  <c r="D25" i="5" s="1"/>
  <c r="B40" i="5"/>
  <c r="D40" i="5" s="1"/>
  <c r="B24" i="5"/>
  <c r="D24" i="5" s="1"/>
  <c r="B8" i="5"/>
  <c r="D8" i="5" s="1"/>
  <c r="B31" i="5"/>
  <c r="D31" i="5" s="1"/>
  <c r="B15" i="5"/>
  <c r="D15" i="5" s="1"/>
  <c r="B28" i="5"/>
  <c r="D28" i="5" s="1"/>
  <c r="B19" i="5"/>
  <c r="D19" i="5" s="1"/>
  <c r="B13" i="5"/>
  <c r="D13" i="5" s="1"/>
  <c r="B29" i="5"/>
  <c r="D29" i="5" s="1"/>
  <c r="B36" i="5"/>
  <c r="D36" i="5" s="1"/>
  <c r="B20" i="5"/>
  <c r="D20" i="5" s="1"/>
  <c r="B27" i="5"/>
  <c r="D27" i="5" s="1"/>
  <c r="B11" i="5"/>
  <c r="D11" i="5" s="1"/>
  <c r="B5" i="5"/>
  <c r="D5" i="5" s="1"/>
  <c r="B21" i="5"/>
  <c r="D21" i="5" s="1"/>
  <c r="B37" i="5"/>
  <c r="D37" i="5" s="1"/>
  <c r="B35" i="5"/>
  <c r="D35" i="5" s="1"/>
  <c r="B17" i="5"/>
  <c r="D17" i="5" s="1"/>
  <c r="B33" i="5"/>
  <c r="D33" i="5" s="1"/>
  <c r="B32" i="5"/>
  <c r="D32" i="5" s="1"/>
  <c r="B16" i="5"/>
  <c r="D16" i="5" s="1"/>
  <c r="B39" i="5"/>
  <c r="D39" i="5" s="1"/>
  <c r="B23" i="5"/>
  <c r="D23" i="5" s="1"/>
  <c r="B7" i="5"/>
  <c r="D7" i="5" s="1"/>
  <c r="B12" i="5"/>
  <c r="D12" i="5" s="1"/>
  <c r="F4" i="13"/>
  <c r="G4" i="13" s="1"/>
  <c r="C3" i="3"/>
  <c r="B4" i="13"/>
  <c r="B3" i="3"/>
  <c r="B26" i="11"/>
  <c r="D26" i="11" s="1"/>
  <c r="B23" i="11"/>
  <c r="D23" i="11" s="1"/>
  <c r="B10" i="11"/>
  <c r="D10" i="11" s="1"/>
  <c r="B21" i="11"/>
  <c r="D21" i="11" s="1"/>
  <c r="B19" i="11"/>
  <c r="D19" i="11" s="1"/>
  <c r="B5" i="11"/>
  <c r="D5" i="11" s="1"/>
  <c r="B27" i="11"/>
  <c r="D27" i="11" s="1"/>
  <c r="B22" i="11"/>
  <c r="D22" i="11" s="1"/>
  <c r="B14" i="11"/>
  <c r="D14" i="11" s="1"/>
  <c r="B6" i="11"/>
  <c r="D6" i="11" s="1"/>
  <c r="B17" i="11"/>
  <c r="D17" i="11" s="1"/>
  <c r="B9" i="11"/>
  <c r="D9" i="11" s="1"/>
  <c r="B7" i="11"/>
  <c r="D7" i="11" s="1"/>
  <c r="B15" i="11"/>
  <c r="D15" i="11" s="1"/>
  <c r="F40" i="12"/>
  <c r="G40" i="12" s="1"/>
  <c r="F39" i="12"/>
  <c r="G39" i="12" s="1"/>
  <c r="F35" i="12"/>
  <c r="G35" i="12" s="1"/>
  <c r="F31" i="12"/>
  <c r="G31" i="12" s="1"/>
  <c r="F27" i="12"/>
  <c r="G27" i="12" s="1"/>
  <c r="F23" i="12"/>
  <c r="G23" i="12" s="1"/>
  <c r="F19" i="12"/>
  <c r="G19" i="12" s="1"/>
  <c r="F15" i="12"/>
  <c r="G15" i="12" s="1"/>
  <c r="F11" i="12"/>
  <c r="G11" i="12" s="1"/>
  <c r="F7" i="12"/>
  <c r="G7" i="12" s="1"/>
  <c r="F37" i="12"/>
  <c r="G37" i="12" s="1"/>
  <c r="F33" i="12"/>
  <c r="G33" i="12" s="1"/>
  <c r="F29" i="12"/>
  <c r="G29" i="12" s="1"/>
  <c r="F25" i="12"/>
  <c r="G25" i="12" s="1"/>
  <c r="F21" i="12"/>
  <c r="G21" i="12" s="1"/>
  <c r="F17" i="12"/>
  <c r="G17" i="12" s="1"/>
  <c r="F13" i="12"/>
  <c r="G13" i="12" s="1"/>
  <c r="F9" i="12"/>
  <c r="G9" i="12" s="1"/>
  <c r="F5" i="12"/>
  <c r="G5" i="12" s="1"/>
  <c r="F30" i="12"/>
  <c r="G30" i="12" s="1"/>
  <c r="F14" i="12"/>
  <c r="G14" i="12" s="1"/>
  <c r="F18" i="12"/>
  <c r="G18" i="12" s="1"/>
  <c r="F26" i="12"/>
  <c r="G26" i="12" s="1"/>
  <c r="F10" i="12"/>
  <c r="G10" i="12" s="1"/>
  <c r="F38" i="12"/>
  <c r="G38" i="12" s="1"/>
  <c r="F22" i="12"/>
  <c r="G22" i="12" s="1"/>
  <c r="F6" i="12"/>
  <c r="G6" i="12" s="1"/>
  <c r="F34" i="12"/>
  <c r="G34" i="12" s="1"/>
  <c r="B18" i="11" l="1"/>
  <c r="D18" i="11" s="1"/>
  <c r="B11" i="11"/>
  <c r="D11" i="11" s="1"/>
  <c r="B13" i="11"/>
  <c r="D13" i="11" s="1"/>
  <c r="B12" i="11"/>
  <c r="D12" i="11" s="1"/>
  <c r="B29" i="11"/>
  <c r="D29" i="11" s="1"/>
  <c r="B16" i="11"/>
  <c r="D16" i="11" s="1"/>
  <c r="B25" i="11"/>
  <c r="D25" i="11" s="1"/>
  <c r="B30" i="11"/>
  <c r="D30" i="11" s="1"/>
  <c r="B35" i="11"/>
  <c r="D35" i="11" s="1"/>
  <c r="B8" i="11"/>
  <c r="D8" i="11" s="1"/>
  <c r="B25" i="2"/>
  <c r="D25" i="2" s="1"/>
  <c r="B18" i="2"/>
  <c r="D18" i="2" s="1"/>
  <c r="B4" i="2"/>
  <c r="D4" i="2" s="1"/>
  <c r="B31" i="2"/>
  <c r="D31" i="2" s="1"/>
  <c r="B8" i="2"/>
  <c r="D8" i="2" s="1"/>
  <c r="B34" i="2"/>
  <c r="D34" i="2" s="1"/>
  <c r="B6" i="2"/>
  <c r="D6" i="2" s="1"/>
  <c r="B15" i="2"/>
  <c r="D15" i="2" s="1"/>
  <c r="B28" i="2"/>
  <c r="D28" i="2" s="1"/>
  <c r="B16" i="2"/>
  <c r="D16" i="2" s="1"/>
  <c r="B13" i="2"/>
  <c r="D13" i="2" s="1"/>
  <c r="B22" i="2"/>
  <c r="D22" i="2" s="1"/>
  <c r="B10" i="2"/>
  <c r="D10" i="2" s="1"/>
  <c r="B14" i="2"/>
  <c r="D14" i="2" s="1"/>
  <c r="B27" i="2"/>
  <c r="D27" i="2" s="1"/>
  <c r="B29" i="2"/>
  <c r="D29" i="2" s="1"/>
  <c r="B38" i="2"/>
  <c r="D38" i="2" s="1"/>
  <c r="B26" i="2"/>
  <c r="D26" i="2" s="1"/>
  <c r="B9" i="2"/>
  <c r="D9" i="2" s="1"/>
  <c r="B19" i="2"/>
  <c r="D19" i="2" s="1"/>
  <c r="B35" i="2"/>
  <c r="D35" i="2" s="1"/>
  <c r="B17" i="2"/>
  <c r="D17" i="2" s="1"/>
  <c r="B5" i="2"/>
  <c r="D5" i="2" s="1"/>
  <c r="B12" i="2"/>
  <c r="D12" i="2" s="1"/>
  <c r="B39" i="2"/>
  <c r="D39" i="2" s="1"/>
  <c r="B21" i="2"/>
  <c r="D21" i="2" s="1"/>
  <c r="B23" i="2"/>
  <c r="D23" i="2" s="1"/>
  <c r="B36" i="2"/>
  <c r="D36" i="2" s="1"/>
  <c r="B32" i="2"/>
  <c r="D32" i="2" s="1"/>
  <c r="B37" i="2"/>
  <c r="D37" i="2" s="1"/>
  <c r="B30" i="2"/>
  <c r="D30" i="2" s="1"/>
  <c r="B33" i="2"/>
  <c r="D33" i="2" s="1"/>
  <c r="B7" i="2"/>
  <c r="D7" i="2" s="1"/>
  <c r="B20" i="2"/>
  <c r="D20" i="2" s="1"/>
  <c r="B11" i="2"/>
  <c r="D11" i="2" s="1"/>
  <c r="B24" i="2"/>
  <c r="D24" i="2" s="1"/>
  <c r="F39" i="5"/>
  <c r="G39" i="5" s="1"/>
  <c r="F28" i="5"/>
  <c r="G28" i="5" s="1"/>
  <c r="F35" i="5"/>
  <c r="G35" i="5" s="1"/>
  <c r="F31" i="5"/>
  <c r="G31" i="5" s="1"/>
  <c r="F22" i="5"/>
  <c r="G22" i="5" s="1"/>
  <c r="F37" i="5"/>
  <c r="G37" i="5" s="1"/>
  <c r="F10" i="5"/>
  <c r="G10" i="5" s="1"/>
  <c r="G4" i="5"/>
  <c r="B35" i="4"/>
  <c r="D35" i="4" s="1"/>
  <c r="B10" i="4"/>
  <c r="D10" i="4" s="1"/>
  <c r="B6" i="4"/>
  <c r="D6" i="4" s="1"/>
  <c r="B7" i="4"/>
  <c r="D7" i="4" s="1"/>
  <c r="B11" i="4"/>
  <c r="D11" i="4" s="1"/>
  <c r="B12" i="4"/>
  <c r="D12" i="4" s="1"/>
  <c r="B13" i="4"/>
  <c r="D13" i="4" s="1"/>
  <c r="B14" i="4"/>
  <c r="D14" i="4" s="1"/>
  <c r="B15" i="4"/>
  <c r="D15" i="4" s="1"/>
  <c r="B16" i="4"/>
  <c r="D16" i="4" s="1"/>
  <c r="B5" i="4"/>
  <c r="D5" i="4" s="1"/>
  <c r="B8" i="4"/>
  <c r="D8" i="4" s="1"/>
  <c r="B4" i="4"/>
  <c r="D4" i="4" s="1"/>
  <c r="B9" i="4"/>
  <c r="D9" i="4" s="1"/>
  <c r="F32" i="5"/>
  <c r="G32" i="5" s="1"/>
  <c r="F9" i="5"/>
  <c r="G9" i="5" s="1"/>
  <c r="F21" i="5"/>
  <c r="G21" i="5" s="1"/>
  <c r="F24" i="5"/>
  <c r="G24" i="5" s="1"/>
  <c r="F40" i="5"/>
  <c r="G40" i="5" s="1"/>
  <c r="F19" i="5"/>
  <c r="G19" i="5" s="1"/>
  <c r="B31" i="11"/>
  <c r="D31" i="11" s="1"/>
  <c r="B34" i="11"/>
  <c r="D34" i="11" s="1"/>
  <c r="B28" i="11"/>
  <c r="D28" i="11" s="1"/>
  <c r="B40" i="11"/>
  <c r="D40" i="11" s="1"/>
  <c r="B20" i="11"/>
  <c r="D20" i="11" s="1"/>
  <c r="B33" i="11"/>
  <c r="D33" i="11" s="1"/>
  <c r="F31" i="11"/>
  <c r="G31" i="11" s="1"/>
  <c r="F40" i="11"/>
  <c r="G40" i="11" s="1"/>
  <c r="F21" i="11"/>
  <c r="G21" i="11" s="1"/>
  <c r="F8" i="11"/>
  <c r="G8" i="11" s="1"/>
  <c r="F18" i="11"/>
  <c r="G18" i="11" s="1"/>
  <c r="F7" i="11"/>
  <c r="G7" i="11" s="1"/>
  <c r="F13" i="11"/>
  <c r="G13" i="11" s="1"/>
  <c r="F28" i="11"/>
  <c r="G28" i="11" s="1"/>
  <c r="F25" i="11"/>
  <c r="G25" i="11" s="1"/>
  <c r="F6" i="11"/>
  <c r="G6" i="11" s="1"/>
  <c r="F29" i="11"/>
  <c r="G29" i="11" s="1"/>
  <c r="F36" i="11"/>
  <c r="G36" i="11" s="1"/>
  <c r="F24" i="11"/>
  <c r="G24" i="11" s="1"/>
  <c r="F35" i="11"/>
  <c r="G35" i="11" s="1"/>
  <c r="F14" i="11"/>
  <c r="G14" i="11" s="1"/>
  <c r="F30" i="11"/>
  <c r="G30" i="11" s="1"/>
  <c r="F39" i="11"/>
  <c r="G39" i="11" s="1"/>
  <c r="F20" i="11"/>
  <c r="G20" i="11" s="1"/>
  <c r="F37" i="11"/>
  <c r="G37" i="11" s="1"/>
  <c r="F15" i="11"/>
  <c r="G15" i="11" s="1"/>
  <c r="F32" i="11"/>
  <c r="G32" i="11" s="1"/>
  <c r="F34" i="11"/>
  <c r="G34" i="11" s="1"/>
  <c r="F12" i="11"/>
  <c r="G12" i="11" s="1"/>
  <c r="F19" i="11"/>
  <c r="G19" i="11" s="1"/>
  <c r="F22" i="11"/>
  <c r="G22" i="11" s="1"/>
  <c r="F23" i="11"/>
  <c r="G23" i="11" s="1"/>
  <c r="F27" i="11"/>
  <c r="G27" i="11" s="1"/>
  <c r="F17" i="11"/>
  <c r="G17" i="11" s="1"/>
  <c r="F11" i="11"/>
  <c r="G11" i="11" s="1"/>
  <c r="F33" i="11"/>
  <c r="G33" i="11" s="1"/>
  <c r="F38" i="11"/>
  <c r="G38" i="11" s="1"/>
  <c r="F9" i="11"/>
  <c r="G9" i="11" s="1"/>
  <c r="F26" i="11"/>
  <c r="G26" i="11" s="1"/>
  <c r="F5" i="11"/>
  <c r="G5" i="11" s="1"/>
  <c r="F16" i="11"/>
  <c r="G16" i="11" s="1"/>
  <c r="F10" i="11"/>
  <c r="G10" i="11" s="1"/>
  <c r="B39" i="11"/>
  <c r="D39" i="11" s="1"/>
  <c r="B32" i="11"/>
  <c r="D32" i="11" s="1"/>
  <c r="B24" i="11"/>
  <c r="D24" i="11" s="1"/>
  <c r="B37" i="11"/>
  <c r="D37" i="11" s="1"/>
  <c r="B36" i="11"/>
  <c r="D36" i="11" s="1"/>
  <c r="B24" i="12"/>
  <c r="D24" i="12" s="1"/>
  <c r="B26" i="12"/>
  <c r="D26" i="12" s="1"/>
  <c r="B29" i="12"/>
  <c r="D29" i="12" s="1"/>
  <c r="B15" i="12"/>
  <c r="D15" i="12" s="1"/>
  <c r="B13" i="12"/>
  <c r="D13" i="12" s="1"/>
  <c r="B38" i="12"/>
  <c r="D38" i="12" s="1"/>
  <c r="B31" i="12"/>
  <c r="D31" i="12" s="1"/>
  <c r="B27" i="12"/>
  <c r="D27" i="12" s="1"/>
  <c r="B28" i="12"/>
  <c r="D28" i="12" s="1"/>
  <c r="B18" i="12"/>
  <c r="D18" i="12" s="1"/>
  <c r="B5" i="12"/>
  <c r="D5" i="12" s="1"/>
  <c r="B30" i="12"/>
  <c r="D30" i="12" s="1"/>
  <c r="B20" i="12"/>
  <c r="D20" i="12" s="1"/>
  <c r="B22" i="12"/>
  <c r="D22" i="12" s="1"/>
  <c r="B11" i="12"/>
  <c r="D11" i="12" s="1"/>
  <c r="B25" i="12"/>
  <c r="D25" i="12" s="1"/>
  <c r="B17" i="12"/>
  <c r="D17" i="12" s="1"/>
  <c r="B37" i="12"/>
  <c r="D37" i="12" s="1"/>
  <c r="B35" i="12"/>
  <c r="D35" i="12" s="1"/>
  <c r="B12" i="12"/>
  <c r="D12" i="12" s="1"/>
  <c r="B32" i="12"/>
  <c r="D32" i="12" s="1"/>
  <c r="B40" i="12"/>
  <c r="D40" i="12" s="1"/>
  <c r="B14" i="12"/>
  <c r="D14" i="12" s="1"/>
  <c r="B9" i="12"/>
  <c r="D9" i="12" s="1"/>
  <c r="B7" i="12"/>
  <c r="D7" i="12" s="1"/>
  <c r="B23" i="12"/>
  <c r="D23" i="12" s="1"/>
  <c r="B19" i="12"/>
  <c r="D19" i="12" s="1"/>
  <c r="B6" i="12"/>
  <c r="D6" i="12" s="1"/>
  <c r="B8" i="12"/>
  <c r="D8" i="12" s="1"/>
  <c r="B21" i="12"/>
  <c r="D21" i="12" s="1"/>
  <c r="B16" i="12"/>
  <c r="D16" i="12" s="1"/>
  <c r="B33" i="12"/>
  <c r="D33" i="12" s="1"/>
  <c r="B34" i="12"/>
  <c r="D34" i="12" s="1"/>
  <c r="B10" i="12"/>
  <c r="D10" i="12" s="1"/>
  <c r="B36" i="12"/>
  <c r="D36" i="12" s="1"/>
  <c r="G4" i="12"/>
  <c r="F14" i="7"/>
  <c r="G14" i="7" s="1"/>
  <c r="F16" i="7"/>
  <c r="G16" i="7" s="1"/>
  <c r="F34" i="5"/>
  <c r="G34" i="5" s="1"/>
  <c r="F13" i="5"/>
  <c r="G13" i="5" s="1"/>
  <c r="F17" i="5"/>
  <c r="G17" i="5" s="1"/>
  <c r="F15" i="5"/>
  <c r="G15" i="5" s="1"/>
  <c r="F18" i="5"/>
  <c r="G18" i="5" s="1"/>
  <c r="F29" i="5"/>
  <c r="G29" i="5" s="1"/>
  <c r="F16" i="5"/>
  <c r="G16" i="5" s="1"/>
  <c r="F30" i="5"/>
  <c r="G30" i="5" s="1"/>
  <c r="F14" i="5"/>
  <c r="G14" i="5" s="1"/>
  <c r="F36" i="5"/>
  <c r="G36" i="5" s="1"/>
  <c r="F7" i="5"/>
  <c r="G7" i="5" s="1"/>
  <c r="F27" i="5"/>
  <c r="G27" i="5" s="1"/>
  <c r="F38" i="5"/>
  <c r="G38" i="5" s="1"/>
  <c r="F25" i="5"/>
  <c r="G25" i="5" s="1"/>
  <c r="F6" i="5"/>
  <c r="G6" i="5" s="1"/>
  <c r="F8" i="5"/>
  <c r="G8" i="5" s="1"/>
  <c r="F26" i="5"/>
  <c r="G26" i="5" s="1"/>
  <c r="F23" i="5"/>
  <c r="G23" i="5" s="1"/>
  <c r="F11" i="5"/>
  <c r="G11" i="5" s="1"/>
  <c r="F33" i="5"/>
  <c r="G33" i="5" s="1"/>
  <c r="F5" i="5"/>
  <c r="G5" i="5" s="1"/>
  <c r="F12" i="5"/>
  <c r="G12" i="5" s="1"/>
  <c r="B18" i="7"/>
  <c r="D18" i="7" s="1"/>
  <c r="B23" i="7"/>
  <c r="D23" i="7" s="1"/>
  <c r="B7" i="7"/>
  <c r="D7" i="7" s="1"/>
  <c r="B10" i="7"/>
  <c r="D10" i="7" s="1"/>
  <c r="B36" i="7"/>
  <c r="D36" i="7" s="1"/>
  <c r="B38" i="7"/>
  <c r="D38" i="7" s="1"/>
  <c r="B6" i="7"/>
  <c r="D6" i="7" s="1"/>
  <c r="B19" i="7"/>
  <c r="D19" i="7" s="1"/>
  <c r="B13" i="7"/>
  <c r="D13" i="7" s="1"/>
  <c r="B11" i="7"/>
  <c r="D11" i="7" s="1"/>
  <c r="B28" i="7"/>
  <c r="D28" i="7" s="1"/>
  <c r="B34" i="7"/>
  <c r="D34" i="7" s="1"/>
  <c r="B40" i="7"/>
  <c r="D40" i="7" s="1"/>
  <c r="B15" i="7"/>
  <c r="D15" i="7" s="1"/>
  <c r="B9" i="7"/>
  <c r="D9" i="7" s="1"/>
  <c r="B8" i="7"/>
  <c r="D8" i="7" s="1"/>
  <c r="B35" i="7"/>
  <c r="D35" i="7" s="1"/>
  <c r="B27" i="7"/>
  <c r="D27" i="7" s="1"/>
  <c r="B20" i="7"/>
  <c r="D20" i="7" s="1"/>
  <c r="B30" i="7"/>
  <c r="D30" i="7" s="1"/>
  <c r="B32" i="7"/>
  <c r="D32" i="7" s="1"/>
  <c r="B37" i="7"/>
  <c r="D37" i="7" s="1"/>
  <c r="B5" i="7"/>
  <c r="D5" i="7" s="1"/>
  <c r="B31" i="7"/>
  <c r="D31" i="7" s="1"/>
  <c r="B17" i="7"/>
  <c r="D17" i="7" s="1"/>
  <c r="B12" i="7"/>
  <c r="D12" i="7" s="1"/>
  <c r="B26" i="7"/>
  <c r="D26" i="7" s="1"/>
  <c r="B24" i="7"/>
  <c r="D24" i="7" s="1"/>
  <c r="B33" i="7"/>
  <c r="D33" i="7" s="1"/>
  <c r="B14" i="7"/>
  <c r="D14" i="7" s="1"/>
  <c r="B39" i="7"/>
  <c r="D39" i="7" s="1"/>
  <c r="B22" i="7"/>
  <c r="D22" i="7" s="1"/>
  <c r="B16" i="7"/>
  <c r="D16" i="7" s="1"/>
  <c r="B29" i="7"/>
  <c r="D29" i="7" s="1"/>
  <c r="B25" i="7"/>
  <c r="D25" i="7" s="1"/>
  <c r="F12" i="7"/>
  <c r="G12" i="7" s="1"/>
  <c r="F39" i="7"/>
  <c r="G39" i="7" s="1"/>
  <c r="F28" i="7"/>
  <c r="G28" i="7" s="1"/>
  <c r="F20" i="7"/>
  <c r="G20" i="7" s="1"/>
  <c r="F15" i="7"/>
  <c r="G15" i="7" s="1"/>
  <c r="F31" i="7"/>
  <c r="G31" i="7" s="1"/>
  <c r="F7" i="7"/>
  <c r="G7" i="7" s="1"/>
  <c r="F11" i="7"/>
  <c r="G11" i="7" s="1"/>
  <c r="F36" i="7"/>
  <c r="G36" i="7" s="1"/>
  <c r="F5" i="7"/>
  <c r="G5" i="7" s="1"/>
  <c r="F35" i="7"/>
  <c r="G35" i="7" s="1"/>
  <c r="F32" i="7"/>
  <c r="G32" i="7" s="1"/>
  <c r="F24" i="7"/>
  <c r="G24" i="7" s="1"/>
  <c r="F25" i="7"/>
  <c r="G25" i="7" s="1"/>
  <c r="F30" i="7"/>
  <c r="G30" i="7" s="1"/>
  <c r="F19" i="7"/>
  <c r="G19" i="7" s="1"/>
  <c r="F8" i="7"/>
  <c r="G8" i="7" s="1"/>
  <c r="F23" i="7"/>
  <c r="G23" i="7" s="1"/>
  <c r="F27" i="7"/>
  <c r="G27" i="7" s="1"/>
  <c r="F40" i="7"/>
  <c r="G40" i="7" s="1"/>
  <c r="G4" i="7"/>
  <c r="F29" i="7"/>
  <c r="G29" i="7" s="1"/>
  <c r="F6" i="7"/>
  <c r="G6" i="7" s="1"/>
  <c r="F26" i="7"/>
  <c r="G26" i="7" s="1"/>
  <c r="F33" i="7"/>
  <c r="G33" i="7" s="1"/>
  <c r="F22" i="7"/>
  <c r="G22" i="7" s="1"/>
  <c r="F21" i="7"/>
  <c r="G21" i="7" s="1"/>
  <c r="F10" i="7"/>
  <c r="G10" i="7" s="1"/>
  <c r="F34" i="7"/>
  <c r="G34" i="7" s="1"/>
  <c r="F37" i="7"/>
  <c r="G37" i="7" s="1"/>
  <c r="F17" i="7"/>
  <c r="G17" i="7" s="1"/>
  <c r="F18" i="7"/>
  <c r="G18" i="7" s="1"/>
  <c r="F38" i="7"/>
  <c r="G38" i="7" s="1"/>
  <c r="F13" i="7"/>
  <c r="G13" i="7" s="1"/>
  <c r="F9" i="7"/>
  <c r="G9" i="7" s="1"/>
  <c r="B25" i="13"/>
  <c r="D25" i="13" s="1"/>
  <c r="B9" i="13"/>
  <c r="D9" i="13" s="1"/>
  <c r="B8" i="13"/>
  <c r="D8" i="13" s="1"/>
  <c r="B24" i="13"/>
  <c r="D24" i="13" s="1"/>
  <c r="B40" i="13"/>
  <c r="D40" i="13" s="1"/>
  <c r="B23" i="13"/>
  <c r="D23" i="13" s="1"/>
  <c r="B39" i="13"/>
  <c r="D39" i="13" s="1"/>
  <c r="B18" i="13"/>
  <c r="D18" i="13" s="1"/>
  <c r="B34" i="13"/>
  <c r="D34" i="13" s="1"/>
  <c r="B29" i="13"/>
  <c r="D29" i="13" s="1"/>
  <c r="B6" i="13"/>
  <c r="D6" i="13" s="1"/>
  <c r="B36" i="13"/>
  <c r="D36" i="13" s="1"/>
  <c r="B14" i="13"/>
  <c r="D14" i="13" s="1"/>
  <c r="B37" i="13"/>
  <c r="D37" i="13" s="1"/>
  <c r="B21" i="13"/>
  <c r="D21" i="13" s="1"/>
  <c r="B7" i="13"/>
  <c r="D7" i="13" s="1"/>
  <c r="B12" i="13"/>
  <c r="D12" i="13" s="1"/>
  <c r="B28" i="13"/>
  <c r="D28" i="13" s="1"/>
  <c r="B11" i="13"/>
  <c r="D11" i="13" s="1"/>
  <c r="B27" i="13"/>
  <c r="D27" i="13" s="1"/>
  <c r="B22" i="13"/>
  <c r="D22" i="13" s="1"/>
  <c r="B38" i="13"/>
  <c r="D38" i="13" s="1"/>
  <c r="B13" i="13"/>
  <c r="D13" i="13" s="1"/>
  <c r="B20" i="13"/>
  <c r="D20" i="13" s="1"/>
  <c r="B19" i="13"/>
  <c r="D19" i="13" s="1"/>
  <c r="B30" i="13"/>
  <c r="D30" i="13" s="1"/>
  <c r="B33" i="13"/>
  <c r="D33" i="13" s="1"/>
  <c r="B17" i="13"/>
  <c r="D17" i="13" s="1"/>
  <c r="B5" i="13"/>
  <c r="D5" i="13" s="1"/>
  <c r="B16" i="13"/>
  <c r="D16" i="13" s="1"/>
  <c r="B32" i="13"/>
  <c r="D32" i="13" s="1"/>
  <c r="B15" i="13"/>
  <c r="D15" i="13" s="1"/>
  <c r="B31" i="13"/>
  <c r="D31" i="13" s="1"/>
  <c r="B10" i="13"/>
  <c r="D10" i="13" s="1"/>
  <c r="B26" i="13"/>
  <c r="D26" i="13" s="1"/>
  <c r="B35" i="13"/>
  <c r="D35" i="13" s="1"/>
  <c r="F39" i="13"/>
  <c r="G39" i="13" s="1"/>
  <c r="F23" i="13"/>
  <c r="G23" i="13" s="1"/>
  <c r="F7" i="13"/>
  <c r="G7" i="13" s="1"/>
  <c r="F35" i="13"/>
  <c r="G35" i="13" s="1"/>
  <c r="F19" i="13"/>
  <c r="G19" i="13" s="1"/>
  <c r="F5" i="13"/>
  <c r="G5" i="13" s="1"/>
  <c r="F31" i="13"/>
  <c r="G31" i="13" s="1"/>
  <c r="F15" i="13"/>
  <c r="G15" i="13" s="1"/>
  <c r="F6" i="13"/>
  <c r="G6" i="13" s="1"/>
  <c r="F27" i="13"/>
  <c r="G27" i="13" s="1"/>
  <c r="F11" i="13"/>
  <c r="G11" i="13" s="1"/>
  <c r="F26" i="13"/>
  <c r="G26" i="13" s="1"/>
  <c r="F10" i="13"/>
  <c r="G10" i="13" s="1"/>
  <c r="F13" i="13"/>
  <c r="G13" i="13" s="1"/>
  <c r="F21" i="13"/>
  <c r="G21" i="13" s="1"/>
  <c r="F29" i="13"/>
  <c r="G29" i="13" s="1"/>
  <c r="F37" i="13"/>
  <c r="G37" i="13" s="1"/>
  <c r="F20" i="13"/>
  <c r="G20" i="13" s="1"/>
  <c r="F38" i="13"/>
  <c r="G38" i="13" s="1"/>
  <c r="F22" i="13"/>
  <c r="G22" i="13" s="1"/>
  <c r="F8" i="13"/>
  <c r="G8" i="13" s="1"/>
  <c r="F16" i="13"/>
  <c r="G16" i="13" s="1"/>
  <c r="F24" i="13"/>
  <c r="G24" i="13" s="1"/>
  <c r="F32" i="13"/>
  <c r="G32" i="13" s="1"/>
  <c r="F40" i="13"/>
  <c r="G40" i="13" s="1"/>
  <c r="F12" i="13"/>
  <c r="G12" i="13" s="1"/>
  <c r="F36" i="13"/>
  <c r="G36" i="13" s="1"/>
  <c r="F34" i="13"/>
  <c r="G34" i="13" s="1"/>
  <c r="F18" i="13"/>
  <c r="G18" i="13" s="1"/>
  <c r="F9" i="13"/>
  <c r="G9" i="13" s="1"/>
  <c r="F17" i="13"/>
  <c r="G17" i="13" s="1"/>
  <c r="F25" i="13"/>
  <c r="G25" i="13" s="1"/>
  <c r="F33" i="13"/>
  <c r="G33" i="13" s="1"/>
  <c r="F30" i="13"/>
  <c r="G30" i="13" s="1"/>
  <c r="F28" i="13"/>
  <c r="G28" i="13" s="1"/>
  <c r="F14" i="13"/>
  <c r="G14" i="13" s="1"/>
  <c r="I20" i="14"/>
  <c r="I24" i="14" s="1"/>
</calcChain>
</file>

<file path=xl/sharedStrings.xml><?xml version="1.0" encoding="utf-8"?>
<sst xmlns="http://schemas.openxmlformats.org/spreadsheetml/2006/main" count="390" uniqueCount="115">
  <si>
    <t>SALARIOS BRUTOS</t>
  </si>
  <si>
    <t>P.P. EXTRAS</t>
  </si>
  <si>
    <t>INDEMNIZACION</t>
  </si>
  <si>
    <t>C. DESTINO (18)</t>
  </si>
  <si>
    <t>C. ESPECIFICO (28)</t>
  </si>
  <si>
    <t>C. DESTINO (14)</t>
  </si>
  <si>
    <t>C. ESPECIFICO (24)</t>
  </si>
  <si>
    <t>INDENIZACION</t>
  </si>
  <si>
    <t>€/MES (MÍNIMOS)</t>
  </si>
  <si>
    <t>€/MES (MAXIMOS)</t>
  </si>
  <si>
    <t>€/MES (MÁXIMOS)</t>
  </si>
  <si>
    <t>€/MES (MINIMOS)</t>
  </si>
  <si>
    <t>SUELDO (B)</t>
  </si>
  <si>
    <t>BASE MINIMA/HORA Tº PARCIAL GRUPO 1</t>
  </si>
  <si>
    <t>BASE MINIMA G1</t>
  </si>
  <si>
    <t>BASE MINIMA/HORA Tº PARCIAL GRUPO 2</t>
  </si>
  <si>
    <t>BASE MINIMA/HORA Tº PARCIAL GRUPO 4-11</t>
  </si>
  <si>
    <t>12 DIAS</t>
  </si>
  <si>
    <t>Retribución/año (*1)</t>
  </si>
  <si>
    <t>mínimas</t>
  </si>
  <si>
    <t>máximas</t>
  </si>
  <si>
    <t>PERSONAL INVESTIGADOR</t>
  </si>
  <si>
    <t>Investigador en Formación</t>
  </si>
  <si>
    <t>PERSONAL COLABORADOR EN TAREAS DE INVESTIGACIÓN</t>
  </si>
  <si>
    <t>Titulados superiores I</t>
  </si>
  <si>
    <t>Titulados superiores II</t>
  </si>
  <si>
    <t>Titulados de grado medio</t>
  </si>
  <si>
    <t>Especialistas Técnicos (*2)</t>
  </si>
  <si>
    <t>Auxiliares (*2)</t>
  </si>
  <si>
    <t>TOTAL</t>
  </si>
  <si>
    <t>INVESTIGADOR EN FORMACIÓN</t>
  </si>
  <si>
    <t>INVESTIGADOR JUNIOR</t>
  </si>
  <si>
    <t>INVESTIGADOR SENIOR</t>
  </si>
  <si>
    <t>BASE MINIMA/HORA Tº PARCIAL GRUPO 5</t>
  </si>
  <si>
    <t>AUXILIAR</t>
  </si>
  <si>
    <t>TOTAL…………………</t>
  </si>
  <si>
    <t>TOTAL…………….</t>
  </si>
  <si>
    <t>ESPECIALISTA TECNICO</t>
  </si>
  <si>
    <t>TITULADO SUPERIOR I</t>
  </si>
  <si>
    <t>TITULADO SUPERIOR II</t>
  </si>
  <si>
    <t>TITULADO DE GRADO MEDIO</t>
  </si>
  <si>
    <t>Investigador Senior</t>
  </si>
  <si>
    <t>Investigador Junior</t>
  </si>
  <si>
    <t>DEDICACION HORAS  SEMANALES</t>
  </si>
  <si>
    <t xml:space="preserve">RETRIBUCION MENSUAL BRUTA </t>
  </si>
  <si>
    <t>RETRIBUCIONES MINIMAS</t>
  </si>
  <si>
    <t>RETRIBUCIONES MAXIMAS</t>
  </si>
  <si>
    <t>Grupo de Cotización</t>
  </si>
  <si>
    <t>CONTINGENCIAS COMUNES</t>
  </si>
  <si>
    <t>BASE MINIMA HORA</t>
  </si>
  <si>
    <t>TOPE MÍNIMO</t>
  </si>
  <si>
    <t>TOPE MÁXIMO</t>
  </si>
  <si>
    <t>CONTINGENCIAS PROFESIONALES</t>
  </si>
  <si>
    <t>Base Cotización</t>
  </si>
  <si>
    <t>Tipos cotización %</t>
  </si>
  <si>
    <t>Cuota Patronal</t>
  </si>
  <si>
    <t>Contingencias Comunes</t>
  </si>
  <si>
    <t>Contingencias Profesionales</t>
  </si>
  <si>
    <t>Bases mínimas euros/mes</t>
  </si>
  <si>
    <t>Bases máximas euros/mes</t>
  </si>
  <si>
    <t>CALCULADORA COSTE SEG.SOCIAL TIEMPO COMPLETO</t>
  </si>
  <si>
    <t>TOTAL COSTE SEGURIDAD SOCIAL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</si>
  <si>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DEDICACION de HORAS semanales…………………………….……………………………….</t>
    </r>
  </si>
  <si>
    <t>CALCULADORA COSTE SEG.SOCIAL TIEMPO PARCIAL</t>
  </si>
  <si>
    <t>TOTAL COSTE SEGURIDAD SOCIAL……..</t>
  </si>
  <si>
    <t>CALCULO RC</t>
  </si>
  <si>
    <r>
      <rPr>
        <b/>
        <sz val="10"/>
        <rFont val="Verdana"/>
        <family val="2"/>
      </rPr>
      <t>(*) NOTA:</t>
    </r>
    <r>
      <rPr>
        <sz val="10"/>
        <rFont val="Verdana"/>
        <family val="2"/>
      </rPr>
      <t xml:space="preserve"> Para calcular el coste total del contrato/renovación para el periodo, utilice la siguiente plantilla………………………………………………………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</si>
  <si>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PROPUESTA ……….……………….……………………………….</t>
    </r>
  </si>
  <si>
    <t>Base mín.Cotiz.</t>
  </si>
  <si>
    <t>Tipo cotización %</t>
  </si>
  <si>
    <t>1º año, no inferior a</t>
  </si>
  <si>
    <t>2º año, no inferior a</t>
  </si>
  <si>
    <t>3º año, no inferior a</t>
  </si>
  <si>
    <t>4º año, no inferior a</t>
  </si>
  <si>
    <t>Prorrateo de la cuantía, para percibir identica cuantia anual</t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</si>
  <si>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distintas a las establecidas en tablas, según bases de la convocatoria,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</si>
  <si>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comprendidas </t>
    </r>
    <r>
      <rPr>
        <b/>
        <sz val="9"/>
        <rFont val="Verdana"/>
        <family val="2"/>
      </rPr>
      <t>en el rango del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</si>
  <si>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>, para retribuciones comprendidas en el</t>
    </r>
    <r>
      <rPr>
        <b/>
        <sz val="9"/>
        <rFont val="Verdana"/>
        <family val="2"/>
      </rPr>
      <t xml:space="preserve"> rango del 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</si>
  <si>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t>RETRIBUCION BRUTA MENSUAL (12 pagas)</t>
  </si>
  <si>
    <t>RETRIBUCION MÍNIMA A PERCIBIR (TIEMPO COMPLETO)</t>
  </si>
  <si>
    <t>CONTRATO PREDOCTORAL</t>
  </si>
  <si>
    <t>Grupo de Cotización 1</t>
  </si>
  <si>
    <t>Base mínima/hora</t>
  </si>
  <si>
    <t>TOTAL COSTE SEGURIDAD SOCIAL……………..</t>
  </si>
  <si>
    <t>RETRIBUCION BRUTA MENSUAL (14 pagas)</t>
  </si>
  <si>
    <t>TOTAL COSTE SEGURIDAD SOCIAL……………………</t>
  </si>
  <si>
    <r>
      <t xml:space="preserve">CALCULADORA COSTE SEG.SOCIAL CONTRATO </t>
    </r>
    <r>
      <rPr>
        <b/>
        <sz val="11"/>
        <color rgb="FFFF0000"/>
        <rFont val="Verdana"/>
        <family val="2"/>
      </rPr>
      <t>PREDOCTORAL</t>
    </r>
  </si>
  <si>
    <r>
      <t xml:space="preserve">CALCULADORA COSTE SEG.SOCIAL CONTRATO                                                               </t>
    </r>
    <r>
      <rPr>
        <b/>
        <sz val="11"/>
        <color rgb="FFFF0000"/>
        <rFont val="Verdana"/>
        <family val="2"/>
      </rPr>
      <t xml:space="preserve"> EN PRÁCTICAS/ACCESO CIENCIA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</si>
  <si>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</t>
    </r>
    <r>
      <rPr>
        <sz val="9"/>
        <color rgb="FF0033CC"/>
        <rFont val="Verdana"/>
        <family val="2"/>
      </rPr>
      <t xml:space="preserve"> </t>
    </r>
    <r>
      <rPr>
        <b/>
        <sz val="9"/>
        <color rgb="FF0033CC"/>
        <rFont val="Verdana"/>
        <family val="2"/>
      </rPr>
      <t>h/semana 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</si>
  <si>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 h/semana ………………………………</t>
    </r>
  </si>
  <si>
    <t>BASE MINIMA G2</t>
  </si>
  <si>
    <t>BASE MINIMA G5</t>
  </si>
  <si>
    <t>BASE MINIMA G7</t>
  </si>
  <si>
    <t>RETRIBUCION BRUTA ANUAL (*)</t>
  </si>
  <si>
    <t>OCULTAR ESTA FILA AL PUBLICAR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</si>
  <si>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37,5 h:</t>
    </r>
  </si>
  <si>
    <t>TITULADO GRADO MEDIO</t>
  </si>
  <si>
    <t xml:space="preserve">TABLAS RETRIBUTIVAS DEL PERSONAL INVESTIGADOR EN FORMACIÓN AÑO  2023                                                                                                        </t>
  </si>
  <si>
    <t>CALCULO RC E INDEMNIZACION</t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</si>
  <si>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</t>
    </r>
  </si>
  <si>
    <t>Actualizado a 01.03.23</t>
  </si>
  <si>
    <t>SUELDO (C2)</t>
  </si>
  <si>
    <t>Complemento Compensatorio CD (14)</t>
  </si>
  <si>
    <t>SUELDO (C1)</t>
  </si>
  <si>
    <t>Complemento Compensatorio CD (18)</t>
  </si>
  <si>
    <t xml:space="preserve">TABLAS RETRIBUTIVAS DEL PERSONAL INVESTIGADOR AÑO 2025                                                                                                         </t>
  </si>
  <si>
    <t>CUOTA  SEG.SOCIAL 32,07%</t>
  </si>
  <si>
    <t>CUOTA SEG.SOCIAL 32,07%</t>
  </si>
  <si>
    <t xml:space="preserve">TABLAS RETRIBUTIVAS DEL PERSONAL INVESTIGADOR AÑO 2025     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</si>
  <si>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</si>
  <si>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      </t>
  </si>
  <si>
    <t>TABLAS RETRIBUTIVAS DEL PERSONAL INVESTIGADOR AÑO 2025</t>
  </si>
  <si>
    <t xml:space="preserve">TABLAS RETRIBUTIVAS DEL PERSONAL INVESTIGADOR AÑO 2025                                                                                                       </t>
  </si>
  <si>
    <t>TABLAS 2024</t>
  </si>
  <si>
    <r>
      <t xml:space="preserve">TABLAS 2025 CON INCREMENTO </t>
    </r>
    <r>
      <rPr>
        <b/>
        <sz val="10"/>
        <color rgb="FF000000"/>
        <rFont val="Verdana"/>
        <family val="2"/>
      </rPr>
      <t>1,07%</t>
    </r>
    <r>
      <rPr>
        <sz val="10"/>
        <color rgb="FF000000"/>
        <rFont val="Verdana"/>
        <family val="2"/>
      </rPr>
      <t xml:space="preserve"> sobre 1 de marzo 2024 (</t>
    </r>
    <r>
      <rPr>
        <sz val="10"/>
        <color theme="3" tint="0.39997558519241921"/>
        <rFont val="Verdana"/>
        <family val="2"/>
      </rPr>
      <t>2% RDL 4/2024 - 0,93%</t>
    </r>
    <r>
      <rPr>
        <sz val="10"/>
        <color rgb="FF000000"/>
        <rFont val="Verdana"/>
        <family val="2"/>
      </rPr>
      <t xml:space="preserve"> resultante del 5% total aplicado sobre 31/12/2022)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</si>
</sst>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C0A]_-;\-* #,##0.00\ [$€-C0A]_-;_-* &quot;-&quot;??\ [$€-C0A]_-;_-@_-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u/>
      <sz val="10"/>
      <name val="Verdana"/>
      <family val="2"/>
    </font>
    <font>
      <sz val="10"/>
      <name val="Verdana"/>
      <family val="2"/>
    </font>
    <font>
      <b/>
      <sz val="11"/>
      <color rgb="FF00000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rgb="FF000000"/>
      <name val="Verdana"/>
      <family val="2"/>
    </font>
    <font>
      <sz val="1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9"/>
      <color rgb="FF0000CC"/>
      <name val="Verdana"/>
      <family val="2"/>
    </font>
    <font>
      <b/>
      <sz val="9"/>
      <color rgb="FF0033CC"/>
      <name val="Verdana"/>
      <family val="2"/>
    </font>
    <font>
      <sz val="9"/>
      <color rgb="FF0033CC"/>
      <name val="Verdana"/>
      <family val="2"/>
    </font>
    <font>
      <sz val="10"/>
      <color rgb="FF0033CC"/>
      <name val="Verdana"/>
      <family val="2"/>
    </font>
    <font>
      <i/>
      <sz val="10"/>
      <name val="Verdana"/>
      <family val="2"/>
    </font>
    <font>
      <b/>
      <sz val="10"/>
      <color rgb="FF0033CC"/>
      <name val="Verdana"/>
      <family val="2"/>
    </font>
    <font>
      <u/>
      <sz val="10"/>
      <color theme="10"/>
      <name val="Arial"/>
      <family val="2"/>
    </font>
    <font>
      <b/>
      <i/>
      <sz val="9"/>
      <color theme="0" tint="-0.34998626667073579"/>
      <name val="Verdana"/>
      <family val="2"/>
    </font>
    <font>
      <i/>
      <sz val="10"/>
      <color theme="0" tint="-0.34998626667073579"/>
      <name val="Verdana"/>
      <family val="2"/>
    </font>
    <font>
      <b/>
      <sz val="11"/>
      <color rgb="FFFF0000"/>
      <name val="Verdana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theme="3" tint="0.3999755851924192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medium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3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2" fontId="4" fillId="0" borderId="0" xfId="0" applyNumberFormat="1" applyFont="1"/>
    <xf numFmtId="0" fontId="7" fillId="0" borderId="0" xfId="0" applyFont="1"/>
    <xf numFmtId="0" fontId="6" fillId="0" borderId="0" xfId="0" applyFont="1"/>
    <xf numFmtId="0" fontId="8" fillId="0" borderId="0" xfId="0" applyFont="1" applyBorder="1" applyAlignment="1">
      <alignment vertical="center"/>
    </xf>
    <xf numFmtId="0" fontId="7" fillId="0" borderId="13" xfId="0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4" fontId="7" fillId="0" borderId="0" xfId="0" applyNumberFormat="1" applyFont="1"/>
    <xf numFmtId="0" fontId="9" fillId="0" borderId="18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2" fontId="9" fillId="0" borderId="0" xfId="0" applyNumberFormat="1" applyFont="1"/>
    <xf numFmtId="2" fontId="7" fillId="0" borderId="0" xfId="0" applyNumberFormat="1" applyFont="1"/>
    <xf numFmtId="2" fontId="7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18" xfId="0" applyFont="1" applyFill="1" applyBorder="1"/>
    <xf numFmtId="0" fontId="7" fillId="0" borderId="21" xfId="0" applyFont="1" applyFill="1" applyBorder="1"/>
    <xf numFmtId="0" fontId="7" fillId="0" borderId="19" xfId="0" applyFont="1" applyBorder="1"/>
    <xf numFmtId="0" fontId="7" fillId="0" borderId="20" xfId="0" applyFont="1" applyBorder="1"/>
    <xf numFmtId="0" fontId="16" fillId="2" borderId="4" xfId="0" applyFont="1" applyFill="1" applyBorder="1" applyAlignment="1">
      <alignment vertical="center"/>
    </xf>
    <xf numFmtId="0" fontId="9" fillId="0" borderId="0" xfId="0" applyFont="1"/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/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0" fontId="13" fillId="0" borderId="9" xfId="0" applyFont="1" applyBorder="1" applyAlignment="1">
      <alignment vertical="center"/>
    </xf>
    <xf numFmtId="0" fontId="9" fillId="3" borderId="27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33" xfId="0" applyFont="1" applyBorder="1" applyAlignment="1">
      <alignment horizontal="center" vertical="center"/>
    </xf>
    <xf numFmtId="2" fontId="7" fillId="0" borderId="0" xfId="1" applyNumberFormat="1" applyFont="1" applyAlignment="1">
      <alignment horizontal="center"/>
    </xf>
    <xf numFmtId="164" fontId="7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2" fontId="7" fillId="0" borderId="31" xfId="1" applyNumberFormat="1" applyFont="1" applyBorder="1" applyAlignment="1">
      <alignment horizontal="center"/>
    </xf>
    <xf numFmtId="164" fontId="9" fillId="0" borderId="31" xfId="1" applyFont="1" applyBorder="1" applyAlignment="1">
      <alignment horizontal="center"/>
    </xf>
    <xf numFmtId="2" fontId="7" fillId="0" borderId="32" xfId="1" applyNumberFormat="1" applyFont="1" applyBorder="1" applyAlignment="1">
      <alignment horizontal="center"/>
    </xf>
    <xf numFmtId="164" fontId="9" fillId="0" borderId="32" xfId="1" applyFont="1" applyBorder="1" applyAlignment="1">
      <alignment horizontal="center"/>
    </xf>
    <xf numFmtId="0" fontId="19" fillId="0" borderId="34" xfId="0" applyFont="1" applyBorder="1" applyAlignment="1">
      <alignment vertical="center"/>
    </xf>
    <xf numFmtId="0" fontId="7" fillId="0" borderId="36" xfId="0" applyFont="1" applyFill="1" applyBorder="1" applyAlignment="1">
      <alignment horizontal="center"/>
    </xf>
    <xf numFmtId="2" fontId="7" fillId="0" borderId="36" xfId="1" applyNumberFormat="1" applyFont="1" applyBorder="1" applyAlignment="1">
      <alignment horizontal="center"/>
    </xf>
    <xf numFmtId="164" fontId="9" fillId="0" borderId="36" xfId="1" applyFont="1" applyBorder="1" applyAlignment="1">
      <alignment horizontal="center"/>
    </xf>
    <xf numFmtId="164" fontId="9" fillId="3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 wrapText="1" shrinkToFit="1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 wrapText="1" shrinkToFit="1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/>
    </xf>
    <xf numFmtId="2" fontId="9" fillId="0" borderId="30" xfId="0" applyNumberFormat="1" applyFont="1" applyFill="1" applyBorder="1" applyAlignment="1">
      <alignment horizontal="center"/>
    </xf>
    <xf numFmtId="2" fontId="7" fillId="0" borderId="31" xfId="0" applyNumberFormat="1" applyFont="1" applyFill="1" applyBorder="1" applyAlignment="1">
      <alignment horizontal="center"/>
    </xf>
    <xf numFmtId="2" fontId="9" fillId="0" borderId="31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2" fontId="9" fillId="0" borderId="32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 vertical="center" wrapText="1"/>
    </xf>
    <xf numFmtId="0" fontId="7" fillId="0" borderId="30" xfId="0" applyFont="1" applyFill="1" applyBorder="1"/>
    <xf numFmtId="0" fontId="7" fillId="0" borderId="31" xfId="0" applyFont="1" applyFill="1" applyBorder="1"/>
    <xf numFmtId="0" fontId="9" fillId="0" borderId="0" xfId="0" applyFont="1" applyBorder="1"/>
    <xf numFmtId="2" fontId="9" fillId="3" borderId="38" xfId="0" applyNumberFormat="1" applyFont="1" applyFill="1" applyBorder="1" applyAlignment="1">
      <alignment horizontal="center" vertical="center" wrapText="1"/>
    </xf>
    <xf numFmtId="2" fontId="7" fillId="3" borderId="3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9" fillId="3" borderId="38" xfId="0" applyNumberFormat="1" applyFont="1" applyFill="1" applyBorder="1" applyAlignment="1">
      <alignment horizontal="center" vertical="center" wrapText="1" shrinkToFit="1"/>
    </xf>
    <xf numFmtId="2" fontId="7" fillId="3" borderId="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right" wrapText="1"/>
    </xf>
    <xf numFmtId="2" fontId="7" fillId="0" borderId="0" xfId="1" applyNumberFormat="1" applyFont="1" applyAlignment="1">
      <alignment vertical="center"/>
    </xf>
    <xf numFmtId="2" fontId="8" fillId="0" borderId="0" xfId="1" applyNumberFormat="1" applyFont="1" applyBorder="1" applyAlignment="1">
      <alignment vertical="center"/>
    </xf>
    <xf numFmtId="2" fontId="7" fillId="0" borderId="16" xfId="1" applyNumberFormat="1" applyFont="1" applyFill="1" applyBorder="1" applyAlignment="1">
      <alignment vertical="center"/>
    </xf>
    <xf numFmtId="2" fontId="10" fillId="0" borderId="16" xfId="1" applyNumberFormat="1" applyFont="1" applyFill="1" applyBorder="1" applyAlignment="1">
      <alignment vertical="center"/>
    </xf>
    <xf numFmtId="2" fontId="9" fillId="0" borderId="12" xfId="1" applyNumberFormat="1" applyFont="1" applyFill="1" applyBorder="1"/>
    <xf numFmtId="2" fontId="7" fillId="0" borderId="0" xfId="1" applyNumberFormat="1" applyFont="1"/>
    <xf numFmtId="2" fontId="7" fillId="0" borderId="0" xfId="1" applyNumberFormat="1" applyFont="1" applyBorder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7" fillId="0" borderId="21" xfId="0" applyNumberFormat="1" applyFont="1" applyFill="1" applyBorder="1" applyAlignment="1">
      <alignment horizontal="right" wrapText="1"/>
    </xf>
    <xf numFmtId="2" fontId="7" fillId="0" borderId="0" xfId="0" applyNumberFormat="1" applyFont="1" applyAlignment="1">
      <alignment horizontal="right" wrapText="1"/>
    </xf>
    <xf numFmtId="2" fontId="7" fillId="0" borderId="0" xfId="1" applyNumberFormat="1" applyFont="1" applyBorder="1" applyAlignment="1">
      <alignment horizontal="right" wrapText="1"/>
    </xf>
    <xf numFmtId="2" fontId="7" fillId="0" borderId="22" xfId="1" applyNumberFormat="1" applyFont="1" applyBorder="1" applyAlignment="1">
      <alignment horizontal="right" wrapText="1"/>
    </xf>
    <xf numFmtId="2" fontId="9" fillId="0" borderId="8" xfId="1" applyNumberFormat="1" applyFont="1" applyBorder="1" applyAlignment="1">
      <alignment horizontal="right" wrapText="1"/>
    </xf>
    <xf numFmtId="2" fontId="9" fillId="0" borderId="23" xfId="1" applyNumberFormat="1" applyFont="1" applyBorder="1" applyAlignment="1">
      <alignment horizontal="right" wrapText="1"/>
    </xf>
    <xf numFmtId="2" fontId="9" fillId="0" borderId="0" xfId="0" applyNumberFormat="1" applyFont="1" applyAlignment="1">
      <alignment horizontal="right" wrapText="1"/>
    </xf>
    <xf numFmtId="2" fontId="9" fillId="0" borderId="0" xfId="0" applyNumberFormat="1" applyFont="1" applyBorder="1" applyAlignment="1">
      <alignment horizontal="right" wrapText="1"/>
    </xf>
    <xf numFmtId="2" fontId="7" fillId="0" borderId="0" xfId="0" applyNumberFormat="1" applyFont="1" applyAlignment="1">
      <alignment horizontal="center"/>
    </xf>
    <xf numFmtId="2" fontId="15" fillId="0" borderId="16" xfId="1" applyNumberFormat="1" applyFont="1" applyBorder="1" applyAlignment="1">
      <alignment horizontal="center" vertical="center"/>
    </xf>
    <xf numFmtId="2" fontId="15" fillId="0" borderId="7" xfId="1" applyNumberFormat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9" fillId="0" borderId="0" xfId="0" applyFont="1" applyAlignment="1">
      <alignment horizontal="center" wrapText="1"/>
    </xf>
    <xf numFmtId="0" fontId="26" fillId="0" borderId="6" xfId="0" applyFont="1" applyFill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30" fillId="0" borderId="0" xfId="0" applyFont="1" applyAlignment="1">
      <alignment horizontal="center" wrapText="1"/>
    </xf>
    <xf numFmtId="2" fontId="30" fillId="0" borderId="0" xfId="0" applyNumberFormat="1" applyFont="1"/>
    <xf numFmtId="0" fontId="30" fillId="0" borderId="0" xfId="0" applyFont="1"/>
    <xf numFmtId="0" fontId="30" fillId="0" borderId="0" xfId="0" applyFont="1" applyAlignment="1"/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1" fillId="0" borderId="21" xfId="0" applyFont="1" applyBorder="1" applyAlignment="1">
      <alignment vertical="center" wrapText="1"/>
    </xf>
    <xf numFmtId="8" fontId="31" fillId="0" borderId="21" xfId="0" applyNumberFormat="1" applyFont="1" applyBorder="1" applyAlignment="1">
      <alignment vertical="center"/>
    </xf>
    <xf numFmtId="0" fontId="31" fillId="0" borderId="21" xfId="0" applyFont="1" applyBorder="1" applyAlignment="1">
      <alignment horizontal="center" vertical="center"/>
    </xf>
    <xf numFmtId="0" fontId="31" fillId="0" borderId="21" xfId="0" applyFont="1" applyBorder="1" applyAlignment="1">
      <alignment horizontal="right" vertical="center"/>
    </xf>
    <xf numFmtId="8" fontId="32" fillId="2" borderId="6" xfId="2" applyNumberFormat="1" applyFont="1" applyFill="1" applyBorder="1" applyAlignment="1">
      <alignment vertical="center"/>
    </xf>
    <xf numFmtId="2" fontId="7" fillId="0" borderId="28" xfId="0" applyNumberFormat="1" applyFont="1" applyBorder="1" applyAlignment="1">
      <alignment horizontal="center" wrapText="1"/>
    </xf>
    <xf numFmtId="10" fontId="7" fillId="0" borderId="0" xfId="0" applyNumberFormat="1" applyFont="1" applyFill="1" applyBorder="1"/>
    <xf numFmtId="0" fontId="26" fillId="0" borderId="16" xfId="0" applyFont="1" applyBorder="1" applyAlignment="1">
      <alignment horizontal="center" vertical="center"/>
    </xf>
    <xf numFmtId="2" fontId="31" fillId="0" borderId="6" xfId="3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2" fontId="15" fillId="0" borderId="16" xfId="1" applyNumberFormat="1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2" fontId="9" fillId="3" borderId="44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8" fillId="4" borderId="24" xfId="0" applyFont="1" applyFill="1" applyBorder="1" applyAlignment="1">
      <alignment vertical="center"/>
    </xf>
    <xf numFmtId="2" fontId="9" fillId="4" borderId="25" xfId="0" applyNumberFormat="1" applyFont="1" applyFill="1" applyBorder="1" applyAlignment="1">
      <alignment horizontal="center" wrapText="1"/>
    </xf>
    <xf numFmtId="2" fontId="9" fillId="4" borderId="26" xfId="0" applyNumberFormat="1" applyFont="1" applyFill="1" applyBorder="1" applyAlignment="1">
      <alignment horizontal="center" wrapText="1"/>
    </xf>
    <xf numFmtId="0" fontId="8" fillId="4" borderId="2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164" fontId="9" fillId="0" borderId="31" xfId="1" applyFont="1" applyBorder="1" applyAlignment="1">
      <alignment horizontal="center" vertical="center"/>
    </xf>
    <xf numFmtId="164" fontId="7" fillId="0" borderId="31" xfId="1" applyFont="1" applyBorder="1" applyAlignment="1">
      <alignment horizontal="center"/>
    </xf>
    <xf numFmtId="164" fontId="7" fillId="0" borderId="46" xfId="1" applyFont="1" applyBorder="1" applyAlignment="1">
      <alignment horizontal="center"/>
    </xf>
    <xf numFmtId="164" fontId="7" fillId="0" borderId="48" xfId="1" applyFont="1" applyBorder="1" applyAlignment="1">
      <alignment horizontal="center"/>
    </xf>
    <xf numFmtId="44" fontId="7" fillId="0" borderId="0" xfId="0" applyNumberFormat="1" applyFont="1"/>
    <xf numFmtId="0" fontId="24" fillId="0" borderId="0" xfId="0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/>
    </xf>
    <xf numFmtId="8" fontId="32" fillId="2" borderId="6" xfId="2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2" fontId="31" fillId="2" borderId="6" xfId="2" applyNumberFormat="1" applyFont="1" applyFill="1" applyBorder="1" applyAlignment="1">
      <alignment horizontal="center" vertical="center"/>
    </xf>
    <xf numFmtId="44" fontId="4" fillId="0" borderId="0" xfId="2" applyFont="1"/>
    <xf numFmtId="0" fontId="28" fillId="0" borderId="0" xfId="0" applyFont="1" applyFill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wrapText="1"/>
    </xf>
    <xf numFmtId="0" fontId="7" fillId="0" borderId="47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2" fontId="16" fillId="0" borderId="0" xfId="0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 wrapText="1"/>
    </xf>
    <xf numFmtId="1" fontId="32" fillId="0" borderId="0" xfId="2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164" fontId="7" fillId="0" borderId="50" xfId="1" applyFont="1" applyBorder="1" applyAlignment="1">
      <alignment horizontal="center"/>
    </xf>
    <xf numFmtId="164" fontId="7" fillId="0" borderId="51" xfId="1" applyFont="1" applyBorder="1" applyAlignment="1">
      <alignment horizontal="center"/>
    </xf>
    <xf numFmtId="164" fontId="9" fillId="0" borderId="53" xfId="1" applyFont="1" applyBorder="1" applyAlignment="1">
      <alignment horizontal="center" vertical="center"/>
    </xf>
    <xf numFmtId="164" fontId="9" fillId="0" borderId="52" xfId="1" applyFont="1" applyBorder="1" applyAlignment="1">
      <alignment horizontal="center" vertical="center"/>
    </xf>
    <xf numFmtId="164" fontId="7" fillId="0" borderId="53" xfId="1" applyFont="1" applyBorder="1" applyAlignment="1">
      <alignment horizontal="center"/>
    </xf>
    <xf numFmtId="164" fontId="7" fillId="0" borderId="54" xfId="1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vertical="center"/>
    </xf>
    <xf numFmtId="4" fontId="32" fillId="0" borderId="0" xfId="1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8" fontId="32" fillId="2" borderId="4" xfId="2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wrapText="1" shrinkToFit="1"/>
    </xf>
    <xf numFmtId="2" fontId="9" fillId="0" borderId="3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9" fillId="0" borderId="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7" fillId="0" borderId="32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7" fillId="0" borderId="55" xfId="0" applyNumberFormat="1" applyFont="1" applyBorder="1" applyAlignment="1">
      <alignment horizontal="center" wrapText="1"/>
    </xf>
    <xf numFmtId="2" fontId="7" fillId="0" borderId="0" xfId="1" applyNumberFormat="1" applyFont="1" applyBorder="1" applyAlignment="1">
      <alignment horizontal="center" vertical="center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5" xfId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4" fontId="32" fillId="2" borderId="6" xfId="2" applyFont="1" applyFill="1" applyBorder="1" applyAlignment="1">
      <alignment vertical="center"/>
    </xf>
    <xf numFmtId="2" fontId="9" fillId="0" borderId="3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2" fontId="7" fillId="0" borderId="2" xfId="1" applyNumberFormat="1" applyFont="1" applyBorder="1" applyAlignment="1">
      <alignment horizontal="center" vertical="center"/>
    </xf>
    <xf numFmtId="4" fontId="37" fillId="0" borderId="1" xfId="0" applyNumberFormat="1" applyFont="1" applyBorder="1" applyAlignment="1">
      <alignment horizontal="right"/>
    </xf>
    <xf numFmtId="4" fontId="38" fillId="0" borderId="1" xfId="0" applyNumberFormat="1" applyFont="1" applyBorder="1" applyAlignment="1">
      <alignment horizontal="right"/>
    </xf>
    <xf numFmtId="4" fontId="39" fillId="0" borderId="1" xfId="0" applyNumberFormat="1" applyFont="1" applyBorder="1" applyAlignment="1">
      <alignment horizontal="right"/>
    </xf>
    <xf numFmtId="2" fontId="7" fillId="3" borderId="17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right"/>
    </xf>
    <xf numFmtId="0" fontId="24" fillId="0" borderId="0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 wrapText="1"/>
    </xf>
    <xf numFmtId="4" fontId="25" fillId="0" borderId="2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/>
    </xf>
    <xf numFmtId="4" fontId="25" fillId="0" borderId="27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44" fontId="32" fillId="2" borderId="11" xfId="2" applyFont="1" applyFill="1" applyBorder="1" applyAlignment="1">
      <alignment horizontal="center" vertical="center"/>
    </xf>
    <xf numFmtId="44" fontId="32" fillId="2" borderId="12" xfId="2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8" fontId="31" fillId="0" borderId="7" xfId="0" applyNumberFormat="1" applyFont="1" applyBorder="1" applyAlignment="1">
      <alignment horizontal="center" vertical="center"/>
    </xf>
    <xf numFmtId="8" fontId="31" fillId="0" borderId="3" xfId="0" applyNumberFormat="1" applyFont="1" applyBorder="1" applyAlignment="1">
      <alignment horizontal="center" vertical="center"/>
    </xf>
    <xf numFmtId="2" fontId="31" fillId="0" borderId="39" xfId="3" applyNumberFormat="1" applyFont="1" applyBorder="1" applyAlignment="1">
      <alignment horizontal="center" vertical="center"/>
    </xf>
    <xf numFmtId="2" fontId="31" fillId="0" borderId="40" xfId="3" applyNumberFormat="1" applyFont="1" applyBorder="1" applyAlignment="1">
      <alignment horizontal="center" vertical="center"/>
    </xf>
    <xf numFmtId="8" fontId="31" fillId="0" borderId="7" xfId="0" applyNumberFormat="1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8" fontId="31" fillId="0" borderId="11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1" fontId="32" fillId="2" borderId="11" xfId="2" applyNumberFormat="1" applyFont="1" applyFill="1" applyBorder="1" applyAlignment="1">
      <alignment horizontal="center" vertical="center"/>
    </xf>
    <xf numFmtId="1" fontId="32" fillId="2" borderId="12" xfId="2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right" vertical="center" wrapText="1"/>
    </xf>
    <xf numFmtId="0" fontId="27" fillId="2" borderId="14" xfId="0" applyFont="1" applyFill="1" applyBorder="1" applyAlignment="1">
      <alignment horizontal="right"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33" fillId="0" borderId="0" xfId="4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2" fontId="31" fillId="0" borderId="7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2" fontId="31" fillId="0" borderId="7" xfId="3" applyNumberFormat="1" applyFont="1" applyBorder="1" applyAlignment="1">
      <alignment horizontal="center" vertical="center"/>
    </xf>
    <xf numFmtId="2" fontId="31" fillId="0" borderId="3" xfId="3" applyNumberFormat="1" applyFont="1" applyBorder="1" applyAlignment="1">
      <alignment horizontal="center" vertical="center"/>
    </xf>
    <xf numFmtId="8" fontId="31" fillId="0" borderId="3" xfId="0" applyNumberFormat="1" applyFont="1" applyBorder="1" applyAlignment="1">
      <alignment horizontal="right" vertical="center"/>
    </xf>
    <xf numFmtId="164" fontId="17" fillId="0" borderId="34" xfId="1" applyFont="1" applyFill="1" applyBorder="1" applyAlignment="1">
      <alignment horizontal="center" vertical="center" wrapText="1"/>
    </xf>
    <xf numFmtId="164" fontId="17" fillId="0" borderId="35" xfId="1" applyFont="1" applyFill="1" applyBorder="1" applyAlignment="1">
      <alignment horizontal="center" vertical="center" wrapText="1"/>
    </xf>
    <xf numFmtId="2" fontId="17" fillId="0" borderId="34" xfId="1" applyNumberFormat="1" applyFont="1" applyFill="1" applyBorder="1" applyAlignment="1">
      <alignment horizontal="center" vertical="center" wrapText="1"/>
    </xf>
    <xf numFmtId="2" fontId="17" fillId="0" borderId="35" xfId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24" fillId="0" borderId="0" xfId="0" applyFont="1" applyBorder="1" applyAlignment="1">
      <alignment horizontal="lef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33" fillId="0" borderId="0" xfId="4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8" fontId="31" fillId="0" borderId="10" xfId="0" applyNumberFormat="1" applyFont="1" applyBorder="1" applyAlignment="1">
      <alignment horizontal="center" vertical="center"/>
    </xf>
    <xf numFmtId="8" fontId="31" fillId="0" borderId="18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165" fontId="32" fillId="2" borderId="11" xfId="2" applyNumberFormat="1" applyFont="1" applyFill="1" applyBorder="1" applyAlignment="1">
      <alignment horizontal="center" vertical="center"/>
    </xf>
    <xf numFmtId="165" fontId="32" fillId="2" borderId="12" xfId="2" applyNumberFormat="1" applyFont="1" applyFill="1" applyBorder="1" applyAlignment="1">
      <alignment horizontal="center" vertical="center"/>
    </xf>
    <xf numFmtId="2" fontId="17" fillId="0" borderId="17" xfId="0" applyNumberFormat="1" applyFont="1" applyFill="1" applyBorder="1" applyAlignment="1">
      <alignment horizontal="center" vertical="center" wrapText="1"/>
    </xf>
    <xf numFmtId="2" fontId="17" fillId="0" borderId="29" xfId="0" applyNumberFormat="1" applyFont="1" applyFill="1" applyBorder="1" applyAlignment="1">
      <alignment horizontal="center" vertical="center" wrapText="1"/>
    </xf>
    <xf numFmtId="1" fontId="32" fillId="2" borderId="7" xfId="2" applyNumberFormat="1" applyFont="1" applyFill="1" applyBorder="1" applyAlignment="1">
      <alignment horizontal="center" vertical="center"/>
    </xf>
    <xf numFmtId="1" fontId="32" fillId="2" borderId="3" xfId="2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2" fontId="35" fillId="0" borderId="7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right" vertical="center" wrapText="1"/>
    </xf>
    <xf numFmtId="2" fontId="15" fillId="0" borderId="16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 wrapTex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15" fillId="0" borderId="0" xfId="0" applyFont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2" fontId="7" fillId="0" borderId="16" xfId="0" applyNumberFormat="1" applyFont="1" applyBorder="1" applyAlignment="1">
      <alignment horizontal="right" wrapText="1"/>
    </xf>
    <xf numFmtId="2" fontId="7" fillId="0" borderId="12" xfId="0" applyNumberFormat="1" applyFont="1" applyBorder="1" applyAlignment="1">
      <alignment horizontal="right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21" fillId="0" borderId="16" xfId="0" applyNumberFormat="1" applyFont="1" applyBorder="1" applyAlignment="1">
      <alignment horizontal="right" wrapText="1"/>
    </xf>
    <xf numFmtId="2" fontId="21" fillId="0" borderId="12" xfId="0" applyNumberFormat="1" applyFont="1" applyBorder="1" applyAlignment="1">
      <alignment horizontal="right" wrapText="1"/>
    </xf>
    <xf numFmtId="0" fontId="22" fillId="4" borderId="4" xfId="0" applyFont="1" applyFill="1" applyBorder="1" applyAlignment="1">
      <alignment horizontal="justify" vertical="center" wrapText="1"/>
    </xf>
    <xf numFmtId="0" fontId="22" fillId="4" borderId="14" xfId="0" applyFont="1" applyFill="1" applyBorder="1" applyAlignment="1">
      <alignment horizontal="justify" vertical="center" wrapText="1"/>
    </xf>
    <xf numFmtId="0" fontId="22" fillId="4" borderId="5" xfId="0" applyFont="1" applyFill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20" fillId="0" borderId="3" xfId="0" applyFont="1" applyBorder="1" applyAlignment="1">
      <alignment horizontal="justify" vertical="center" wrapText="1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C0C0C0"/>
      <color rgb="FF0033CC"/>
      <color rgb="FF0000CC"/>
      <color rgb="FF0000FF"/>
      <color rgb="FF3399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erviciopas.umh.es/files/2019/04/CALCULO-RC-nuevo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="98" zoomScaleNormal="98" workbookViewId="0">
      <selection activeCell="N27" sqref="N27"/>
    </sheetView>
  </sheetViews>
  <sheetFormatPr baseColWidth="10" defaultColWidth="11.5703125" defaultRowHeight="12.75" x14ac:dyDescent="0.2"/>
  <cols>
    <col min="1" max="1" width="15" style="33" customWidth="1"/>
    <col min="2" max="2" width="21.28515625" style="33" customWidth="1"/>
    <col min="3" max="3" width="0.140625" style="33" customWidth="1"/>
    <col min="4" max="4" width="14.42578125" style="113" customWidth="1"/>
    <col min="5" max="5" width="18.28515625" style="8" customWidth="1"/>
    <col min="6" max="6" width="24.7109375" style="8" customWidth="1"/>
    <col min="7" max="7" width="18.42578125" style="8" customWidth="1"/>
    <col min="8" max="8" width="11.5703125" style="8"/>
    <col min="9" max="9" width="19.7109375" style="35" customWidth="1"/>
    <col min="10" max="10" width="19.42578125" style="19" customWidth="1"/>
    <col min="11" max="11" width="18.7109375" style="8" customWidth="1"/>
    <col min="12" max="12" width="17.7109375" style="112" customWidth="1"/>
    <col min="13" max="13" width="15.28515625" style="8" customWidth="1"/>
    <col min="14" max="16384" width="11.5703125" style="8"/>
  </cols>
  <sheetData>
    <row r="1" spans="1:13" ht="51.75" customHeight="1" x14ac:dyDescent="0.2">
      <c r="A1" s="217" t="s">
        <v>105</v>
      </c>
      <c r="B1" s="218"/>
      <c r="C1" s="218"/>
      <c r="D1" s="218"/>
      <c r="E1" s="218"/>
      <c r="F1" s="218"/>
      <c r="G1" s="218"/>
    </row>
    <row r="2" spans="1:13" s="36" customFormat="1" ht="28.5" customHeight="1" x14ac:dyDescent="0.2">
      <c r="A2" s="44"/>
      <c r="B2" s="223" t="s">
        <v>45</v>
      </c>
      <c r="C2" s="223"/>
      <c r="D2" s="223"/>
      <c r="E2" s="42"/>
      <c r="F2" s="223" t="s">
        <v>46</v>
      </c>
      <c r="G2" s="224"/>
      <c r="I2" s="219" t="s">
        <v>48</v>
      </c>
      <c r="J2" s="219"/>
      <c r="K2" s="219"/>
      <c r="L2" s="219" t="s">
        <v>52</v>
      </c>
      <c r="M2" s="219"/>
    </row>
    <row r="3" spans="1:13" s="27" customFormat="1" ht="48.4" customHeight="1" x14ac:dyDescent="0.2">
      <c r="A3" s="43" t="s">
        <v>43</v>
      </c>
      <c r="B3" s="40" t="s">
        <v>44</v>
      </c>
      <c r="C3" s="40" t="s">
        <v>49</v>
      </c>
      <c r="D3" s="185" t="s">
        <v>106</v>
      </c>
      <c r="E3" s="40" t="s">
        <v>43</v>
      </c>
      <c r="F3" s="40" t="s">
        <v>44</v>
      </c>
      <c r="G3" s="41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3" ht="16.5" customHeight="1" x14ac:dyDescent="0.2">
      <c r="A4" s="37">
        <v>37.5</v>
      </c>
      <c r="B4" s="45">
        <f>PARAMETROS!B2</f>
        <v>2799.827692075</v>
      </c>
      <c r="C4" s="45"/>
      <c r="D4" s="128"/>
      <c r="E4" s="37">
        <v>37.5</v>
      </c>
      <c r="F4" s="45">
        <f>PARAMETROS!C2</f>
        <v>3639.7757385999998</v>
      </c>
      <c r="G4" s="45">
        <f>IF(F4&gt;=$K$4,$K$4*$K$18%,F4*$K$18%)</f>
        <v>1167.27607936902</v>
      </c>
      <c r="I4" s="220">
        <v>1</v>
      </c>
      <c r="J4" s="221">
        <v>1929</v>
      </c>
      <c r="K4" s="221">
        <v>4909.5</v>
      </c>
      <c r="L4" s="225">
        <v>1381.2</v>
      </c>
      <c r="M4" s="225">
        <v>4909.5</v>
      </c>
    </row>
    <row r="5" spans="1:13" ht="16.5" customHeight="1" x14ac:dyDescent="0.2">
      <c r="A5" s="38">
        <v>36</v>
      </c>
      <c r="B5" s="46">
        <f>(PRODUCT(B$4,A5)/A$4)</f>
        <v>2687.8345843920001</v>
      </c>
      <c r="C5" s="186">
        <f>((A5/$A$4*7.5*5)/7)*30*$D$43</f>
        <v>1792.8000000000002</v>
      </c>
      <c r="D5" s="128">
        <f t="shared" ref="D5:D40" si="0">IF(B5&lt;C5,C5*$K$18%,B5*$K$18%)</f>
        <v>861.98855121451436</v>
      </c>
      <c r="E5" s="38">
        <v>36</v>
      </c>
      <c r="F5" s="46">
        <f t="shared" ref="F5:F40" si="1">PRODUCT(F$4,E5)/E$4</f>
        <v>3494.184709056</v>
      </c>
      <c r="G5" s="46">
        <f t="shared" ref="G5:G40" si="2">IF(F5&gt;=$K$4,$K$4*$K$18%,F5*$K$18%)</f>
        <v>1120.5850361942591</v>
      </c>
      <c r="I5" s="220"/>
      <c r="J5" s="222"/>
      <c r="K5" s="222"/>
      <c r="L5" s="226"/>
      <c r="M5" s="226"/>
    </row>
    <row r="6" spans="1:13" ht="16.5" customHeight="1" x14ac:dyDescent="0.2">
      <c r="A6" s="38">
        <v>35</v>
      </c>
      <c r="B6" s="46">
        <f t="shared" ref="B6:B40" si="3">(PRODUCT(B$4,A6)/A$4)</f>
        <v>2613.1725126033334</v>
      </c>
      <c r="C6" s="186">
        <f t="shared" ref="C6:C40" si="4">((A6/A$4*7.5*5)/7)*30*$D$43</f>
        <v>1742.9999999999998</v>
      </c>
      <c r="D6" s="128">
        <f t="shared" si="0"/>
        <v>838.04442479188901</v>
      </c>
      <c r="E6" s="38">
        <v>35</v>
      </c>
      <c r="F6" s="46">
        <f t="shared" si="1"/>
        <v>3397.1240226933332</v>
      </c>
      <c r="G6" s="46">
        <f t="shared" si="2"/>
        <v>1089.457674077752</v>
      </c>
      <c r="J6" s="8"/>
    </row>
    <row r="7" spans="1:13" ht="16.5" customHeight="1" thickBot="1" x14ac:dyDescent="0.25">
      <c r="A7" s="38">
        <v>34</v>
      </c>
      <c r="B7" s="46">
        <f t="shared" si="3"/>
        <v>2538.5104408146667</v>
      </c>
      <c r="C7" s="186">
        <f t="shared" si="4"/>
        <v>1693.1999999999996</v>
      </c>
      <c r="D7" s="128">
        <f t="shared" si="0"/>
        <v>814.10029836926356</v>
      </c>
      <c r="E7" s="38">
        <v>34</v>
      </c>
      <c r="F7" s="46">
        <f t="shared" si="1"/>
        <v>3300.0633363306665</v>
      </c>
      <c r="G7" s="46">
        <f t="shared" si="2"/>
        <v>1058.3303119612447</v>
      </c>
    </row>
    <row r="8" spans="1:13" ht="16.5" customHeight="1" x14ac:dyDescent="0.2">
      <c r="A8" s="38">
        <v>33</v>
      </c>
      <c r="B8" s="46">
        <f t="shared" si="3"/>
        <v>2463.848369026</v>
      </c>
      <c r="C8" s="186">
        <f t="shared" si="4"/>
        <v>1643.4</v>
      </c>
      <c r="D8" s="128">
        <f t="shared" si="0"/>
        <v>790.15617194663821</v>
      </c>
      <c r="E8" s="38">
        <v>33</v>
      </c>
      <c r="F8" s="46">
        <f t="shared" si="1"/>
        <v>3203.0026499679998</v>
      </c>
      <c r="G8" s="46">
        <f t="shared" si="2"/>
        <v>1027.2029498447375</v>
      </c>
      <c r="I8" s="231" t="s">
        <v>88</v>
      </c>
      <c r="J8" s="231"/>
      <c r="K8" s="232"/>
      <c r="L8" s="229">
        <v>0</v>
      </c>
    </row>
    <row r="9" spans="1:13" ht="16.5" customHeight="1" thickBot="1" x14ac:dyDescent="0.25">
      <c r="A9" s="38">
        <v>32</v>
      </c>
      <c r="B9" s="46">
        <f t="shared" si="3"/>
        <v>2389.1862972373333</v>
      </c>
      <c r="C9" s="186">
        <f t="shared" si="4"/>
        <v>1593.6</v>
      </c>
      <c r="D9" s="128">
        <f t="shared" si="0"/>
        <v>766.21204552401275</v>
      </c>
      <c r="E9" s="38">
        <v>32</v>
      </c>
      <c r="F9" s="46">
        <f t="shared" si="1"/>
        <v>3105.9419636053331</v>
      </c>
      <c r="G9" s="46">
        <f t="shared" si="2"/>
        <v>996.07558772823029</v>
      </c>
      <c r="I9" s="231"/>
      <c r="J9" s="231"/>
      <c r="K9" s="232"/>
      <c r="L9" s="230"/>
    </row>
    <row r="10" spans="1:13" ht="16.5" customHeight="1" thickBot="1" x14ac:dyDescent="0.25">
      <c r="A10" s="38">
        <v>31</v>
      </c>
      <c r="B10" s="46">
        <f t="shared" si="3"/>
        <v>2314.5242254486666</v>
      </c>
      <c r="C10" s="186">
        <f t="shared" si="4"/>
        <v>1543.8</v>
      </c>
      <c r="D10" s="128">
        <f t="shared" si="0"/>
        <v>742.26791910138729</v>
      </c>
      <c r="E10" s="38">
        <v>31</v>
      </c>
      <c r="F10" s="46">
        <f t="shared" si="1"/>
        <v>3008.8812772426663</v>
      </c>
      <c r="G10" s="46">
        <f t="shared" si="2"/>
        <v>964.94822561172305</v>
      </c>
      <c r="I10" s="117"/>
      <c r="J10" s="118"/>
      <c r="K10" s="119"/>
      <c r="L10" s="120"/>
    </row>
    <row r="11" spans="1:13" ht="16.5" customHeight="1" x14ac:dyDescent="0.2">
      <c r="A11" s="38">
        <v>30</v>
      </c>
      <c r="B11" s="46">
        <f t="shared" si="3"/>
        <v>2239.8621536599999</v>
      </c>
      <c r="C11" s="186">
        <f t="shared" si="4"/>
        <v>1493.9999999999998</v>
      </c>
      <c r="D11" s="128">
        <f t="shared" si="0"/>
        <v>718.32379267876195</v>
      </c>
      <c r="E11" s="38">
        <v>30</v>
      </c>
      <c r="F11" s="46">
        <f t="shared" si="1"/>
        <v>2911.8205908799996</v>
      </c>
      <c r="G11" s="46">
        <f t="shared" si="2"/>
        <v>933.8208634952158</v>
      </c>
      <c r="I11" s="233" t="s">
        <v>60</v>
      </c>
      <c r="J11" s="234"/>
      <c r="K11" s="234"/>
      <c r="L11" s="235"/>
    </row>
    <row r="12" spans="1:13" ht="16.5" customHeight="1" thickBot="1" x14ac:dyDescent="0.25">
      <c r="A12" s="38">
        <v>29</v>
      </c>
      <c r="B12" s="46">
        <f t="shared" si="3"/>
        <v>2165.2000818713332</v>
      </c>
      <c r="C12" s="186">
        <f t="shared" si="4"/>
        <v>1444.2</v>
      </c>
      <c r="D12" s="128">
        <f t="shared" si="0"/>
        <v>694.37966625613649</v>
      </c>
      <c r="E12" s="38">
        <v>29</v>
      </c>
      <c r="F12" s="46">
        <f t="shared" si="1"/>
        <v>2814.7599045173333</v>
      </c>
      <c r="G12" s="46">
        <f t="shared" si="2"/>
        <v>902.69350137870879</v>
      </c>
      <c r="I12" s="236"/>
      <c r="J12" s="237"/>
      <c r="K12" s="237"/>
      <c r="L12" s="238"/>
    </row>
    <row r="13" spans="1:13" ht="16.5" customHeight="1" thickBot="1" x14ac:dyDescent="0.25">
      <c r="A13" s="38">
        <v>28</v>
      </c>
      <c r="B13" s="46">
        <f t="shared" si="3"/>
        <v>2090.5380100826665</v>
      </c>
      <c r="C13" s="186">
        <f t="shared" si="4"/>
        <v>1394.4000000000003</v>
      </c>
      <c r="D13" s="128">
        <f t="shared" si="0"/>
        <v>670.43553983351114</v>
      </c>
      <c r="E13" s="38">
        <v>28</v>
      </c>
      <c r="F13" s="46">
        <f t="shared" si="1"/>
        <v>2717.6992181546666</v>
      </c>
      <c r="G13" s="46">
        <f t="shared" si="2"/>
        <v>871.56613926220155</v>
      </c>
      <c r="I13" s="114"/>
      <c r="J13" s="115" t="s">
        <v>53</v>
      </c>
      <c r="K13" s="130" t="s">
        <v>54</v>
      </c>
      <c r="L13" s="116" t="s">
        <v>55</v>
      </c>
    </row>
    <row r="14" spans="1:13" ht="16.5" customHeight="1" x14ac:dyDescent="0.2">
      <c r="A14" s="38">
        <v>27</v>
      </c>
      <c r="B14" s="46">
        <f t="shared" si="3"/>
        <v>2015.8759382939998</v>
      </c>
      <c r="C14" s="186">
        <f t="shared" si="4"/>
        <v>1344.6</v>
      </c>
      <c r="D14" s="128">
        <f t="shared" si="0"/>
        <v>646.49141341088568</v>
      </c>
      <c r="E14" s="38">
        <v>27</v>
      </c>
      <c r="F14" s="46">
        <f t="shared" si="1"/>
        <v>2620.6385317919999</v>
      </c>
      <c r="G14" s="46">
        <f t="shared" si="2"/>
        <v>840.4387771456943</v>
      </c>
      <c r="I14" s="239" t="s">
        <v>56</v>
      </c>
      <c r="J14" s="241">
        <f>IF(L8&gt;=J4,L8,J4)</f>
        <v>1929</v>
      </c>
      <c r="K14" s="243">
        <v>24.27</v>
      </c>
      <c r="L14" s="249">
        <f>J14*K14%</f>
        <v>468.16829999999999</v>
      </c>
    </row>
    <row r="15" spans="1:13" ht="16.5" customHeight="1" thickBot="1" x14ac:dyDescent="0.25">
      <c r="A15" s="38">
        <v>26</v>
      </c>
      <c r="B15" s="46">
        <f t="shared" si="3"/>
        <v>1941.2138665053333</v>
      </c>
      <c r="C15" s="186">
        <f t="shared" si="4"/>
        <v>1294.8</v>
      </c>
      <c r="D15" s="128">
        <f t="shared" si="0"/>
        <v>622.54728698826034</v>
      </c>
      <c r="E15" s="38">
        <v>26</v>
      </c>
      <c r="F15" s="46">
        <f t="shared" si="1"/>
        <v>2523.5778454293336</v>
      </c>
      <c r="G15" s="46">
        <f t="shared" si="2"/>
        <v>809.31141502918729</v>
      </c>
      <c r="I15" s="240"/>
      <c r="J15" s="242"/>
      <c r="K15" s="244"/>
      <c r="L15" s="250"/>
    </row>
    <row r="16" spans="1:13" ht="16.5" customHeight="1" x14ac:dyDescent="0.2">
      <c r="A16" s="38">
        <v>25</v>
      </c>
      <c r="B16" s="46">
        <f t="shared" si="3"/>
        <v>1866.5517947166666</v>
      </c>
      <c r="C16" s="186">
        <f t="shared" si="4"/>
        <v>1245</v>
      </c>
      <c r="D16" s="128">
        <f t="shared" si="0"/>
        <v>598.60316056563499</v>
      </c>
      <c r="E16" s="38">
        <v>25</v>
      </c>
      <c r="F16" s="46">
        <f t="shared" si="1"/>
        <v>2426.5171590666669</v>
      </c>
      <c r="G16" s="46">
        <f t="shared" si="2"/>
        <v>778.18405291268004</v>
      </c>
      <c r="I16" s="247" t="s">
        <v>57</v>
      </c>
      <c r="J16" s="241">
        <f>IF(L8&gt;=L4,L8,L4)</f>
        <v>1381.2</v>
      </c>
      <c r="K16" s="243">
        <v>7.8</v>
      </c>
      <c r="L16" s="245">
        <f>J16*K16%</f>
        <v>107.73360000000001</v>
      </c>
    </row>
    <row r="17" spans="1:14" ht="16.5" customHeight="1" thickBot="1" x14ac:dyDescent="0.25">
      <c r="A17" s="38">
        <v>24</v>
      </c>
      <c r="B17" s="46">
        <f t="shared" si="3"/>
        <v>1791.8897229280001</v>
      </c>
      <c r="C17" s="186">
        <f t="shared" si="4"/>
        <v>1195.1999999999998</v>
      </c>
      <c r="D17" s="128">
        <f t="shared" si="0"/>
        <v>574.65903414300965</v>
      </c>
      <c r="E17" s="38">
        <v>24</v>
      </c>
      <c r="F17" s="46">
        <f t="shared" si="1"/>
        <v>2329.4564727040001</v>
      </c>
      <c r="G17" s="46">
        <f t="shared" si="2"/>
        <v>747.0566907961728</v>
      </c>
      <c r="I17" s="248"/>
      <c r="J17" s="242"/>
      <c r="K17" s="244">
        <v>0.2</v>
      </c>
      <c r="L17" s="246"/>
    </row>
    <row r="18" spans="1:14" ht="16.5" customHeight="1" thickBot="1" x14ac:dyDescent="0.25">
      <c r="A18" s="38">
        <v>23</v>
      </c>
      <c r="B18" s="46">
        <f t="shared" si="3"/>
        <v>1717.2276511393331</v>
      </c>
      <c r="C18" s="186">
        <f t="shared" si="4"/>
        <v>1145.3999999999999</v>
      </c>
      <c r="D18" s="128">
        <f t="shared" si="0"/>
        <v>550.71490772038408</v>
      </c>
      <c r="E18" s="38">
        <v>23</v>
      </c>
      <c r="F18" s="46">
        <f t="shared" si="1"/>
        <v>2232.3957863413334</v>
      </c>
      <c r="G18" s="46">
        <f t="shared" si="2"/>
        <v>715.92932867966556</v>
      </c>
      <c r="I18" s="227" t="s">
        <v>61</v>
      </c>
      <c r="J18" s="228"/>
      <c r="K18" s="131">
        <f>(K14+K16)</f>
        <v>32.07</v>
      </c>
      <c r="L18" s="127">
        <f>SUM(L14:L17)</f>
        <v>575.90189999999996</v>
      </c>
    </row>
    <row r="19" spans="1:14" ht="16.5" customHeight="1" x14ac:dyDescent="0.2">
      <c r="A19" s="38">
        <v>22</v>
      </c>
      <c r="B19" s="46">
        <f t="shared" si="3"/>
        <v>1642.5655793506667</v>
      </c>
      <c r="C19" s="186">
        <f t="shared" si="4"/>
        <v>1095.5999999999999</v>
      </c>
      <c r="D19" s="128">
        <f t="shared" si="0"/>
        <v>526.77078129775873</v>
      </c>
      <c r="E19" s="38">
        <v>22</v>
      </c>
      <c r="F19" s="46">
        <f t="shared" si="1"/>
        <v>2135.3350999786667</v>
      </c>
      <c r="G19" s="46">
        <f t="shared" si="2"/>
        <v>684.80196656315832</v>
      </c>
      <c r="I19" s="123"/>
      <c r="J19" s="124"/>
      <c r="K19" s="125"/>
      <c r="L19" s="126"/>
    </row>
    <row r="20" spans="1:14" ht="16.5" customHeight="1" x14ac:dyDescent="0.2">
      <c r="A20" s="38">
        <v>21</v>
      </c>
      <c r="B20" s="46">
        <f t="shared" si="3"/>
        <v>1567.903507562</v>
      </c>
      <c r="C20" s="186">
        <f t="shared" si="4"/>
        <v>1045.8</v>
      </c>
      <c r="D20" s="128">
        <f t="shared" si="0"/>
        <v>502.82665487513339</v>
      </c>
      <c r="E20" s="38">
        <v>21</v>
      </c>
      <c r="F20" s="46">
        <f t="shared" si="1"/>
        <v>2038.2744136159999</v>
      </c>
      <c r="G20" s="46">
        <f t="shared" si="2"/>
        <v>653.67460444665119</v>
      </c>
      <c r="I20" s="216" t="s">
        <v>76</v>
      </c>
      <c r="J20" s="216"/>
      <c r="K20" s="216"/>
      <c r="L20" s="216"/>
      <c r="M20" s="216"/>
      <c r="N20" s="144"/>
    </row>
    <row r="21" spans="1:14" ht="16.5" customHeight="1" x14ac:dyDescent="0.2">
      <c r="A21" s="38">
        <v>20</v>
      </c>
      <c r="B21" s="46">
        <f t="shared" si="3"/>
        <v>1493.2414357733333</v>
      </c>
      <c r="C21" s="186">
        <f t="shared" si="4"/>
        <v>996</v>
      </c>
      <c r="D21" s="128">
        <f t="shared" si="0"/>
        <v>478.88252845250793</v>
      </c>
      <c r="E21" s="38">
        <v>20</v>
      </c>
      <c r="F21" s="46">
        <f t="shared" si="1"/>
        <v>1941.2137272533332</v>
      </c>
      <c r="G21" s="46">
        <f t="shared" si="2"/>
        <v>622.54724233014394</v>
      </c>
      <c r="I21" s="216"/>
      <c r="J21" s="216"/>
      <c r="K21" s="216"/>
      <c r="L21" s="216"/>
      <c r="M21" s="216"/>
      <c r="N21" s="144"/>
    </row>
    <row r="22" spans="1:14" ht="16.5" customHeight="1" thickBot="1" x14ac:dyDescent="0.25">
      <c r="A22" s="38">
        <v>19</v>
      </c>
      <c r="B22" s="46">
        <f t="shared" si="3"/>
        <v>1418.5793639846665</v>
      </c>
      <c r="C22" s="186">
        <f t="shared" si="4"/>
        <v>946.19999999999993</v>
      </c>
      <c r="D22" s="128">
        <f t="shared" si="0"/>
        <v>454.93840202988252</v>
      </c>
      <c r="E22" s="38">
        <v>19</v>
      </c>
      <c r="F22" s="46">
        <f t="shared" si="1"/>
        <v>1844.1530408906665</v>
      </c>
      <c r="G22" s="46">
        <f t="shared" si="2"/>
        <v>591.4198802136367</v>
      </c>
    </row>
    <row r="23" spans="1:14" ht="16.5" customHeight="1" x14ac:dyDescent="0.2">
      <c r="A23" s="38">
        <v>18</v>
      </c>
      <c r="B23" s="46">
        <f t="shared" si="3"/>
        <v>1343.9172921960001</v>
      </c>
      <c r="C23" s="186">
        <f t="shared" si="4"/>
        <v>896.40000000000009</v>
      </c>
      <c r="D23" s="128">
        <f t="shared" si="0"/>
        <v>430.99427560725718</v>
      </c>
      <c r="E23" s="38">
        <v>18</v>
      </c>
      <c r="F23" s="46">
        <f t="shared" si="1"/>
        <v>1747.092354528</v>
      </c>
      <c r="G23" s="46">
        <f t="shared" si="2"/>
        <v>560.29251809712957</v>
      </c>
      <c r="I23" s="231" t="s">
        <v>62</v>
      </c>
      <c r="J23" s="231"/>
      <c r="K23" s="232"/>
      <c r="L23" s="251">
        <v>0</v>
      </c>
    </row>
    <row r="24" spans="1:14" ht="16.5" customHeight="1" thickBot="1" x14ac:dyDescent="0.25">
      <c r="A24" s="38">
        <v>17</v>
      </c>
      <c r="B24" s="46">
        <f t="shared" si="3"/>
        <v>1269.2552204073334</v>
      </c>
      <c r="C24" s="186">
        <f t="shared" si="4"/>
        <v>846.5999999999998</v>
      </c>
      <c r="D24" s="128">
        <f t="shared" si="0"/>
        <v>407.05014918463178</v>
      </c>
      <c r="E24" s="38">
        <v>17</v>
      </c>
      <c r="F24" s="46">
        <f t="shared" si="1"/>
        <v>1650.0316681653333</v>
      </c>
      <c r="G24" s="46">
        <f t="shared" si="2"/>
        <v>529.16515598062233</v>
      </c>
      <c r="I24" s="231"/>
      <c r="J24" s="231"/>
      <c r="K24" s="232"/>
      <c r="L24" s="252"/>
    </row>
    <row r="25" spans="1:14" ht="16.5" customHeight="1" thickBot="1" x14ac:dyDescent="0.25">
      <c r="A25" s="38">
        <v>16</v>
      </c>
      <c r="B25" s="46">
        <f t="shared" si="3"/>
        <v>1194.5931486186666</v>
      </c>
      <c r="C25" s="186">
        <f t="shared" si="4"/>
        <v>796.8</v>
      </c>
      <c r="D25" s="128">
        <f t="shared" si="0"/>
        <v>383.10602276200638</v>
      </c>
      <c r="E25" s="38">
        <v>16</v>
      </c>
      <c r="F25" s="46">
        <f t="shared" si="1"/>
        <v>1552.9709818026665</v>
      </c>
      <c r="G25" s="46">
        <f t="shared" si="2"/>
        <v>498.03779386411514</v>
      </c>
    </row>
    <row r="26" spans="1:14" ht="16.5" customHeight="1" x14ac:dyDescent="0.2">
      <c r="A26" s="38">
        <v>15</v>
      </c>
      <c r="B26" s="46">
        <f t="shared" si="3"/>
        <v>1119.9310768299999</v>
      </c>
      <c r="C26" s="186">
        <f t="shared" si="4"/>
        <v>746.99999999999989</v>
      </c>
      <c r="D26" s="128">
        <f t="shared" si="0"/>
        <v>359.16189633938097</v>
      </c>
      <c r="E26" s="38">
        <v>15</v>
      </c>
      <c r="F26" s="46">
        <f t="shared" si="1"/>
        <v>1455.9102954399998</v>
      </c>
      <c r="G26" s="46">
        <f t="shared" si="2"/>
        <v>466.9104317476079</v>
      </c>
      <c r="I26" s="231" t="s">
        <v>67</v>
      </c>
      <c r="J26" s="231"/>
      <c r="K26" s="232"/>
      <c r="L26" s="229">
        <v>0</v>
      </c>
    </row>
    <row r="27" spans="1:14" ht="16.5" customHeight="1" thickBot="1" x14ac:dyDescent="0.25">
      <c r="A27" s="38">
        <v>14</v>
      </c>
      <c r="B27" s="46">
        <f t="shared" si="3"/>
        <v>1045.2690050413332</v>
      </c>
      <c r="C27" s="186">
        <f t="shared" si="4"/>
        <v>697.20000000000016</v>
      </c>
      <c r="D27" s="128">
        <f t="shared" si="0"/>
        <v>335.21776991675557</v>
      </c>
      <c r="E27" s="38">
        <v>14</v>
      </c>
      <c r="F27" s="46">
        <f t="shared" si="1"/>
        <v>1358.8496090773333</v>
      </c>
      <c r="G27" s="46">
        <f t="shared" si="2"/>
        <v>435.78306963110077</v>
      </c>
      <c r="I27" s="231"/>
      <c r="J27" s="231"/>
      <c r="K27" s="232"/>
      <c r="L27" s="230"/>
    </row>
    <row r="28" spans="1:14" ht="16.5" customHeight="1" thickBot="1" x14ac:dyDescent="0.25">
      <c r="A28" s="38">
        <v>13</v>
      </c>
      <c r="B28" s="46">
        <f t="shared" si="3"/>
        <v>970.60693325266664</v>
      </c>
      <c r="C28" s="186">
        <f t="shared" si="4"/>
        <v>647.4</v>
      </c>
      <c r="D28" s="128">
        <f t="shared" si="0"/>
        <v>311.27364349413017</v>
      </c>
      <c r="E28" s="38">
        <v>13</v>
      </c>
      <c r="F28" s="46">
        <f t="shared" si="1"/>
        <v>1261.7889227146668</v>
      </c>
      <c r="G28" s="46">
        <f t="shared" si="2"/>
        <v>404.65570751459364</v>
      </c>
    </row>
    <row r="29" spans="1:14" ht="16.5" customHeight="1" x14ac:dyDescent="0.2">
      <c r="A29" s="38">
        <v>12</v>
      </c>
      <c r="B29" s="46">
        <f t="shared" si="3"/>
        <v>895.94486146400004</v>
      </c>
      <c r="C29" s="186">
        <f t="shared" si="4"/>
        <v>597.59999999999991</v>
      </c>
      <c r="D29" s="128">
        <f t="shared" si="0"/>
        <v>287.32951707150482</v>
      </c>
      <c r="E29" s="38">
        <v>12</v>
      </c>
      <c r="F29" s="46">
        <f t="shared" si="1"/>
        <v>1164.7282363520001</v>
      </c>
      <c r="G29" s="46">
        <f t="shared" si="2"/>
        <v>373.5283453980864</v>
      </c>
      <c r="I29" s="233" t="s">
        <v>63</v>
      </c>
      <c r="J29" s="234"/>
      <c r="K29" s="234"/>
      <c r="L29" s="235"/>
    </row>
    <row r="30" spans="1:14" ht="16.5" customHeight="1" thickBot="1" x14ac:dyDescent="0.25">
      <c r="A30" s="38">
        <v>11</v>
      </c>
      <c r="B30" s="46">
        <f t="shared" si="3"/>
        <v>821.28278967533333</v>
      </c>
      <c r="C30" s="186">
        <f t="shared" si="4"/>
        <v>547.79999999999995</v>
      </c>
      <c r="D30" s="128">
        <f t="shared" si="0"/>
        <v>263.38539064887937</v>
      </c>
      <c r="E30" s="38">
        <v>11</v>
      </c>
      <c r="F30" s="46">
        <f t="shared" si="1"/>
        <v>1067.6675499893333</v>
      </c>
      <c r="G30" s="46">
        <f t="shared" si="2"/>
        <v>342.40098328157916</v>
      </c>
      <c r="I30" s="236"/>
      <c r="J30" s="237"/>
      <c r="K30" s="237"/>
      <c r="L30" s="238"/>
    </row>
    <row r="31" spans="1:14" ht="16.5" customHeight="1" thickBot="1" x14ac:dyDescent="0.25">
      <c r="A31" s="38">
        <v>10</v>
      </c>
      <c r="B31" s="46">
        <f t="shared" si="3"/>
        <v>746.62071788666663</v>
      </c>
      <c r="C31" s="186">
        <f t="shared" si="4"/>
        <v>498</v>
      </c>
      <c r="D31" s="128">
        <f t="shared" si="0"/>
        <v>239.44126422625396</v>
      </c>
      <c r="E31" s="38">
        <v>10</v>
      </c>
      <c r="F31" s="46">
        <f t="shared" si="1"/>
        <v>970.60686362666661</v>
      </c>
      <c r="G31" s="46">
        <f t="shared" si="2"/>
        <v>311.27362116507197</v>
      </c>
      <c r="I31" s="134" t="s">
        <v>68</v>
      </c>
      <c r="J31" s="132" t="s">
        <v>53</v>
      </c>
      <c r="K31" s="130" t="s">
        <v>69</v>
      </c>
      <c r="L31" s="116" t="s">
        <v>55</v>
      </c>
    </row>
    <row r="32" spans="1:14" ht="16.5" customHeight="1" x14ac:dyDescent="0.2">
      <c r="A32" s="38">
        <v>9</v>
      </c>
      <c r="B32" s="46">
        <f t="shared" si="3"/>
        <v>671.95864609800003</v>
      </c>
      <c r="C32" s="186">
        <f t="shared" si="4"/>
        <v>448.20000000000005</v>
      </c>
      <c r="D32" s="128">
        <f t="shared" si="0"/>
        <v>215.49713780362859</v>
      </c>
      <c r="E32" s="38">
        <v>9</v>
      </c>
      <c r="F32" s="46">
        <f t="shared" si="1"/>
        <v>873.54617726399999</v>
      </c>
      <c r="G32" s="46">
        <f t="shared" si="2"/>
        <v>280.14625904856479</v>
      </c>
      <c r="I32" s="258">
        <f>((L23/37.5*7.5*5)/7)*30*$D$43</f>
        <v>0</v>
      </c>
      <c r="J32" s="260">
        <f>IF(L26&lt;I32,I32,L26)</f>
        <v>0</v>
      </c>
      <c r="K32" s="262">
        <v>32.07</v>
      </c>
      <c r="L32" s="245">
        <f>J32*K32%</f>
        <v>0</v>
      </c>
    </row>
    <row r="33" spans="1:14" ht="16.5" customHeight="1" thickBot="1" x14ac:dyDescent="0.25">
      <c r="A33" s="38">
        <v>8</v>
      </c>
      <c r="B33" s="46">
        <f t="shared" si="3"/>
        <v>597.29657430933332</v>
      </c>
      <c r="C33" s="186">
        <f t="shared" si="4"/>
        <v>398.4</v>
      </c>
      <c r="D33" s="128">
        <f t="shared" si="0"/>
        <v>191.55301138100319</v>
      </c>
      <c r="E33" s="38">
        <v>8</v>
      </c>
      <c r="F33" s="46">
        <f t="shared" si="1"/>
        <v>776.48549090133326</v>
      </c>
      <c r="G33" s="46">
        <f t="shared" si="2"/>
        <v>249.01889693205757</v>
      </c>
      <c r="I33" s="259"/>
      <c r="J33" s="261"/>
      <c r="K33" s="263"/>
      <c r="L33" s="264"/>
    </row>
    <row r="34" spans="1:14" ht="16.5" customHeight="1" thickBot="1" x14ac:dyDescent="0.25">
      <c r="A34" s="38">
        <v>7</v>
      </c>
      <c r="B34" s="46">
        <f t="shared" si="3"/>
        <v>522.63450252066662</v>
      </c>
      <c r="C34" s="186">
        <f t="shared" si="4"/>
        <v>348.60000000000008</v>
      </c>
      <c r="D34" s="128">
        <f t="shared" si="0"/>
        <v>167.60888495837779</v>
      </c>
      <c r="E34" s="38">
        <v>7</v>
      </c>
      <c r="F34" s="46">
        <f t="shared" si="1"/>
        <v>679.42480453866665</v>
      </c>
      <c r="G34" s="46">
        <f t="shared" si="2"/>
        <v>217.89153481555039</v>
      </c>
      <c r="I34" s="253" t="s">
        <v>64</v>
      </c>
      <c r="J34" s="254"/>
      <c r="K34" s="255"/>
      <c r="L34" s="127">
        <f>SUM(L32)</f>
        <v>0</v>
      </c>
    </row>
    <row r="35" spans="1:14" ht="16.5" customHeight="1" x14ac:dyDescent="0.2">
      <c r="A35" s="38">
        <v>6</v>
      </c>
      <c r="B35" s="46">
        <f t="shared" si="3"/>
        <v>447.97243073200002</v>
      </c>
      <c r="C35" s="186">
        <f t="shared" si="4"/>
        <v>298.79999999999995</v>
      </c>
      <c r="D35" s="128">
        <f t="shared" si="0"/>
        <v>143.66475853575241</v>
      </c>
      <c r="E35" s="38">
        <v>6</v>
      </c>
      <c r="F35" s="46">
        <f t="shared" si="1"/>
        <v>582.36411817600003</v>
      </c>
      <c r="G35" s="46">
        <f t="shared" si="2"/>
        <v>186.7641726990432</v>
      </c>
      <c r="N35" s="133"/>
    </row>
    <row r="36" spans="1:14" ht="16.5" customHeight="1" x14ac:dyDescent="0.2">
      <c r="A36" s="38">
        <v>5</v>
      </c>
      <c r="B36" s="46">
        <f t="shared" si="3"/>
        <v>373.31035894333331</v>
      </c>
      <c r="C36" s="186">
        <f t="shared" si="4"/>
        <v>249</v>
      </c>
      <c r="D36" s="128">
        <f t="shared" si="0"/>
        <v>119.72063211312698</v>
      </c>
      <c r="E36" s="38">
        <v>5</v>
      </c>
      <c r="F36" s="46">
        <f t="shared" si="1"/>
        <v>485.3034318133333</v>
      </c>
      <c r="G36" s="46">
        <f t="shared" si="2"/>
        <v>155.63681058253599</v>
      </c>
      <c r="I36" s="256" t="s">
        <v>66</v>
      </c>
      <c r="J36" s="256"/>
      <c r="K36" s="256"/>
      <c r="L36" s="256"/>
      <c r="M36" s="257" t="s">
        <v>98</v>
      </c>
      <c r="N36" s="133"/>
    </row>
    <row r="37" spans="1:14" ht="16.5" customHeight="1" x14ac:dyDescent="0.2">
      <c r="A37" s="38">
        <v>4</v>
      </c>
      <c r="B37" s="46">
        <f t="shared" si="3"/>
        <v>298.64828715466666</v>
      </c>
      <c r="C37" s="186">
        <f t="shared" si="4"/>
        <v>199.2</v>
      </c>
      <c r="D37" s="128">
        <f t="shared" si="0"/>
        <v>95.776505690501594</v>
      </c>
      <c r="E37" s="38">
        <v>4</v>
      </c>
      <c r="F37" s="46">
        <f t="shared" si="1"/>
        <v>388.24274545066663</v>
      </c>
      <c r="G37" s="46">
        <f t="shared" si="2"/>
        <v>124.50944846602879</v>
      </c>
      <c r="I37" s="256"/>
      <c r="J37" s="256"/>
      <c r="K37" s="256"/>
      <c r="L37" s="256"/>
      <c r="M37" s="257"/>
      <c r="N37" s="133"/>
    </row>
    <row r="38" spans="1:14" ht="16.5" customHeight="1" x14ac:dyDescent="0.2">
      <c r="A38" s="38">
        <v>3</v>
      </c>
      <c r="B38" s="46">
        <f t="shared" si="3"/>
        <v>223.98621536600001</v>
      </c>
      <c r="C38" s="186">
        <f t="shared" si="4"/>
        <v>149.39999999999998</v>
      </c>
      <c r="D38" s="128">
        <f t="shared" si="0"/>
        <v>71.832379267876206</v>
      </c>
      <c r="E38" s="38">
        <v>3</v>
      </c>
      <c r="F38" s="46">
        <f t="shared" si="1"/>
        <v>291.18205908800002</v>
      </c>
      <c r="G38" s="46">
        <f t="shared" si="2"/>
        <v>93.3820863495216</v>
      </c>
    </row>
    <row r="39" spans="1:14" ht="16.5" customHeight="1" x14ac:dyDescent="0.2">
      <c r="A39" s="38">
        <v>2</v>
      </c>
      <c r="B39" s="46">
        <f t="shared" si="3"/>
        <v>149.32414357733333</v>
      </c>
      <c r="C39" s="186">
        <f t="shared" si="4"/>
        <v>99.6</v>
      </c>
      <c r="D39" s="128">
        <f t="shared" si="0"/>
        <v>47.888252845250797</v>
      </c>
      <c r="E39" s="38">
        <v>2</v>
      </c>
      <c r="F39" s="46">
        <f t="shared" si="1"/>
        <v>194.12137272533332</v>
      </c>
      <c r="G39" s="46">
        <f t="shared" si="2"/>
        <v>62.254724233014393</v>
      </c>
    </row>
    <row r="40" spans="1:14" ht="16.5" customHeight="1" x14ac:dyDescent="0.2">
      <c r="A40" s="39">
        <v>1</v>
      </c>
      <c r="B40" s="195">
        <f t="shared" si="3"/>
        <v>74.662071788666665</v>
      </c>
      <c r="C40" s="196">
        <f t="shared" si="4"/>
        <v>49.8</v>
      </c>
      <c r="D40" s="197">
        <f t="shared" si="0"/>
        <v>23.944126422625398</v>
      </c>
      <c r="E40" s="39">
        <v>1</v>
      </c>
      <c r="F40" s="195">
        <f t="shared" si="1"/>
        <v>97.060686362666658</v>
      </c>
      <c r="G40" s="195">
        <f t="shared" si="2"/>
        <v>31.127362116507197</v>
      </c>
    </row>
    <row r="41" spans="1:14" hidden="1" x14ac:dyDescent="0.2">
      <c r="D41" s="194"/>
    </row>
    <row r="42" spans="1:14" ht="13.5" hidden="1" thickBot="1" x14ac:dyDescent="0.25"/>
    <row r="43" spans="1:14" ht="39" hidden="1" thickBot="1" x14ac:dyDescent="0.25">
      <c r="B43" s="191" t="s">
        <v>13</v>
      </c>
      <c r="C43" s="192"/>
      <c r="D43" s="193">
        <v>11.62</v>
      </c>
      <c r="E43" s="17"/>
    </row>
    <row r="44" spans="1:14" hidden="1" x14ac:dyDescent="0.2"/>
  </sheetData>
  <sheetProtection algorithmName="SHA-512" hashValue="1+hkXzvSqO1daMkX43ySLZstEHW0Ndg6vrjjFV1Rg2m1bLY0DDs2knxnsTtEt4GHiPqVwbeBxvtjZhpJv6tVjw==" saltValue="Sh6WBPZjJWrN3yoJLHA3cg==" spinCount="100000" sheet="1" objects="1" scenarios="1"/>
  <protectedRanges>
    <protectedRange sqref="M36" name="CALCULO RC"/>
    <protectedRange sqref="L8" name="RET TC_1"/>
    <protectedRange sqref="L26" name="RET TC_2"/>
    <protectedRange sqref="L23" name="DED_1"/>
  </protectedRanges>
  <mergeCells count="35">
    <mergeCell ref="I34:K34"/>
    <mergeCell ref="I36:L37"/>
    <mergeCell ref="M36:M37"/>
    <mergeCell ref="I32:I33"/>
    <mergeCell ref="J32:J33"/>
    <mergeCell ref="K32:K33"/>
    <mergeCell ref="L32:L33"/>
    <mergeCell ref="I26:K27"/>
    <mergeCell ref="L23:L24"/>
    <mergeCell ref="I23:K24"/>
    <mergeCell ref="L26:L27"/>
    <mergeCell ref="I29:L30"/>
    <mergeCell ref="J14:J15"/>
    <mergeCell ref="K14:K15"/>
    <mergeCell ref="L16:L17"/>
    <mergeCell ref="K16:K17"/>
    <mergeCell ref="I16:I17"/>
    <mergeCell ref="J16:J17"/>
    <mergeCell ref="L14:L15"/>
    <mergeCell ref="I20:M21"/>
    <mergeCell ref="A1:G1"/>
    <mergeCell ref="I2:K2"/>
    <mergeCell ref="I4:I5"/>
    <mergeCell ref="J4:J5"/>
    <mergeCell ref="K4:K5"/>
    <mergeCell ref="L2:M2"/>
    <mergeCell ref="B2:D2"/>
    <mergeCell ref="F2:G2"/>
    <mergeCell ref="L4:L5"/>
    <mergeCell ref="M4:M5"/>
    <mergeCell ref="I18:J18"/>
    <mergeCell ref="L8:L9"/>
    <mergeCell ref="I8:K9"/>
    <mergeCell ref="I11:L12"/>
    <mergeCell ref="I14:I15"/>
  </mergeCells>
  <phoneticPr fontId="3" type="noConversion"/>
  <hyperlinks>
    <hyperlink ref="M36:M37" r:id="rId1" display="CALCULO RC E INDEMNIZACION" xr:uid="{468CC840-2BB4-41C5-9636-6417891AB68F}"/>
  </hyperlinks>
  <pageMargins left="0.94488188976377963" right="0.86614173228346458" top="9.46969696969697E-3" bottom="0.39370078740157483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topLeftCell="B1" zoomScale="93" zoomScaleNormal="93" workbookViewId="0">
      <selection activeCell="N18" sqref="N18"/>
    </sheetView>
  </sheetViews>
  <sheetFormatPr baseColWidth="10" defaultColWidth="11.5703125" defaultRowHeight="12.75" x14ac:dyDescent="0.2"/>
  <cols>
    <col min="1" max="1" width="18.42578125" style="33" customWidth="1"/>
    <col min="2" max="2" width="24.7109375" style="50" customWidth="1"/>
    <col min="3" max="3" width="16.7109375" style="51" hidden="1" customWidth="1"/>
    <col min="4" max="4" width="18.42578125" style="52" customWidth="1"/>
    <col min="5" max="5" width="18.42578125" style="8" customWidth="1"/>
    <col min="6" max="6" width="24.7109375" style="49" customWidth="1"/>
    <col min="7" max="7" width="18.42578125" style="49" customWidth="1"/>
    <col min="8" max="8" width="11.5703125" style="8"/>
    <col min="9" max="9" width="19.28515625" style="19" customWidth="1"/>
    <col min="10" max="10" width="17" style="8" bestFit="1" customWidth="1"/>
    <col min="11" max="11" width="19.7109375" style="8" bestFit="1" customWidth="1"/>
    <col min="12" max="12" width="16.28515625" style="8" bestFit="1" customWidth="1"/>
    <col min="13" max="13" width="16.5703125" style="8" customWidth="1"/>
    <col min="14" max="16384" width="11.5703125" style="8"/>
  </cols>
  <sheetData>
    <row r="1" spans="1:14" ht="65.25" customHeight="1" x14ac:dyDescent="0.2">
      <c r="A1" s="217" t="s">
        <v>108</v>
      </c>
      <c r="B1" s="218"/>
      <c r="C1" s="218"/>
      <c r="D1" s="218"/>
      <c r="E1" s="218"/>
      <c r="F1" s="218"/>
      <c r="G1" s="218"/>
    </row>
    <row r="2" spans="1:14" s="47" customFormat="1" ht="24" customHeight="1" x14ac:dyDescent="0.2">
      <c r="A2" s="48"/>
      <c r="B2" s="265" t="s">
        <v>45</v>
      </c>
      <c r="C2" s="265"/>
      <c r="D2" s="266"/>
      <c r="E2" s="57"/>
      <c r="F2" s="267" t="s">
        <v>46</v>
      </c>
      <c r="G2" s="268"/>
      <c r="I2" s="219" t="s">
        <v>48</v>
      </c>
      <c r="J2" s="219"/>
      <c r="K2" s="219"/>
      <c r="L2" s="219" t="s">
        <v>52</v>
      </c>
      <c r="M2" s="219"/>
      <c r="N2" s="36"/>
    </row>
    <row r="3" spans="1:14" s="27" customFormat="1" ht="38.25" x14ac:dyDescent="0.2">
      <c r="A3" s="40" t="s">
        <v>43</v>
      </c>
      <c r="B3" s="61" t="s">
        <v>44</v>
      </c>
      <c r="C3" s="62" t="s">
        <v>14</v>
      </c>
      <c r="D3" s="63" t="s">
        <v>106</v>
      </c>
      <c r="E3" s="40" t="s">
        <v>43</v>
      </c>
      <c r="F3" s="64" t="s">
        <v>44</v>
      </c>
      <c r="G3" s="63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4" ht="15" customHeight="1" x14ac:dyDescent="0.2">
      <c r="A4" s="58">
        <v>37.5</v>
      </c>
      <c r="B4" s="59">
        <f>PARAMETROS!B23</f>
        <v>2299.8590519250001</v>
      </c>
      <c r="C4" s="60"/>
      <c r="D4" s="59"/>
      <c r="E4" s="58">
        <v>37.5</v>
      </c>
      <c r="F4" s="59">
        <f>PARAMETROS!C23</f>
        <v>2989.8152879499999</v>
      </c>
      <c r="G4" s="59">
        <f>IF(F4&gt;=$K$4,$K$4*$K$18%,F4*$K$18%)</f>
        <v>958.83376284556493</v>
      </c>
      <c r="I4" s="220">
        <v>1</v>
      </c>
      <c r="J4" s="221">
        <v>1929</v>
      </c>
      <c r="K4" s="221">
        <v>4909.5</v>
      </c>
      <c r="L4" s="225">
        <v>1381.2</v>
      </c>
      <c r="M4" s="225">
        <v>4909.5</v>
      </c>
    </row>
    <row r="5" spans="1:14" ht="15" customHeight="1" x14ac:dyDescent="0.2">
      <c r="A5" s="38">
        <v>36</v>
      </c>
      <c r="B5" s="53">
        <f>PRODUCT(B$4,A5)/A$4</f>
        <v>2207.8646898480001</v>
      </c>
      <c r="C5" s="54">
        <f t="shared" ref="C5:C40" si="0">(A5/$A$4*7.5*5)/7*30*$C$43</f>
        <v>1792.8000000000002</v>
      </c>
      <c r="D5" s="53">
        <f>IF(B5&lt;C5,C5*$K$18%,B5*$K$18%)</f>
        <v>708.06220603425356</v>
      </c>
      <c r="E5" s="38">
        <v>36</v>
      </c>
      <c r="F5" s="53">
        <f>PRODUCT(F$4,E5)/E$4</f>
        <v>2870.2226764319998</v>
      </c>
      <c r="G5" s="59">
        <f t="shared" ref="G5:G40" si="1">IF(F5&gt;=$K$4,$K$4*$K$18%,F5*$K$18%)</f>
        <v>920.48041233174229</v>
      </c>
      <c r="I5" s="220"/>
      <c r="J5" s="222"/>
      <c r="K5" s="222"/>
      <c r="L5" s="226"/>
      <c r="M5" s="226"/>
    </row>
    <row r="6" spans="1:14" ht="15" customHeight="1" x14ac:dyDescent="0.2">
      <c r="A6" s="38">
        <v>35</v>
      </c>
      <c r="B6" s="53">
        <f>PRODUCT(B$4,A6)/A$4</f>
        <v>2146.5351151300001</v>
      </c>
      <c r="C6" s="54">
        <f t="shared" si="0"/>
        <v>1742.9999999999998</v>
      </c>
      <c r="D6" s="53">
        <f t="shared" ref="D6:D40" si="2">IF(B6&lt;C6,C6*$K$18%,B6*$K$18%)</f>
        <v>688.39381142219099</v>
      </c>
      <c r="E6" s="38">
        <v>35</v>
      </c>
      <c r="F6" s="53">
        <f>PRODUCT(F$4,E6)/E$4</f>
        <v>2790.494268753333</v>
      </c>
      <c r="G6" s="59">
        <f t="shared" si="1"/>
        <v>894.91151198919385</v>
      </c>
      <c r="I6" s="35"/>
      <c r="L6" s="112"/>
    </row>
    <row r="7" spans="1:14" ht="15" customHeight="1" thickBot="1" x14ac:dyDescent="0.25">
      <c r="A7" s="38">
        <v>34</v>
      </c>
      <c r="B7" s="53">
        <f t="shared" ref="B7:B40" si="3">PRODUCT(B$4,A7)/A$4</f>
        <v>2085.2055404120001</v>
      </c>
      <c r="C7" s="54">
        <f t="shared" si="0"/>
        <v>1693.1999999999996</v>
      </c>
      <c r="D7" s="53">
        <f t="shared" si="2"/>
        <v>668.72541681012842</v>
      </c>
      <c r="E7" s="38">
        <v>34</v>
      </c>
      <c r="F7" s="53">
        <f t="shared" ref="F7:F40" si="4">PRODUCT(F$4,E7)/E$4</f>
        <v>2710.7658610746662</v>
      </c>
      <c r="G7" s="59">
        <f t="shared" si="1"/>
        <v>869.34261164664542</v>
      </c>
      <c r="I7" s="35"/>
      <c r="J7" s="19"/>
      <c r="L7" s="112"/>
    </row>
    <row r="8" spans="1:14" ht="15" customHeight="1" x14ac:dyDescent="0.2">
      <c r="A8" s="38">
        <v>33</v>
      </c>
      <c r="B8" s="53">
        <f t="shared" si="3"/>
        <v>2023.8759656940001</v>
      </c>
      <c r="C8" s="54">
        <f t="shared" si="0"/>
        <v>1643.4</v>
      </c>
      <c r="D8" s="53">
        <f t="shared" si="2"/>
        <v>649.05702219806585</v>
      </c>
      <c r="E8" s="38">
        <v>33</v>
      </c>
      <c r="F8" s="53">
        <f t="shared" si="4"/>
        <v>2631.0374533959998</v>
      </c>
      <c r="G8" s="59">
        <f t="shared" si="1"/>
        <v>843.77371130409711</v>
      </c>
      <c r="I8" s="231" t="s">
        <v>89</v>
      </c>
      <c r="J8" s="231"/>
      <c r="K8" s="232"/>
      <c r="L8" s="229">
        <v>0</v>
      </c>
    </row>
    <row r="9" spans="1:14" ht="15" customHeight="1" thickBot="1" x14ac:dyDescent="0.25">
      <c r="A9" s="38">
        <v>32</v>
      </c>
      <c r="B9" s="53">
        <f t="shared" si="3"/>
        <v>1962.5463909760001</v>
      </c>
      <c r="C9" s="54">
        <f t="shared" si="0"/>
        <v>1593.6</v>
      </c>
      <c r="D9" s="53">
        <f t="shared" si="2"/>
        <v>629.38862758600317</v>
      </c>
      <c r="E9" s="38">
        <v>32</v>
      </c>
      <c r="F9" s="53">
        <f t="shared" si="4"/>
        <v>2551.309045717333</v>
      </c>
      <c r="G9" s="59">
        <f t="shared" si="1"/>
        <v>818.20481096154867</v>
      </c>
      <c r="I9" s="231"/>
      <c r="J9" s="231"/>
      <c r="K9" s="232"/>
      <c r="L9" s="230"/>
    </row>
    <row r="10" spans="1:14" ht="15" customHeight="1" thickBot="1" x14ac:dyDescent="0.25">
      <c r="A10" s="38">
        <v>31</v>
      </c>
      <c r="B10" s="53">
        <f t="shared" si="3"/>
        <v>1901.2168162580001</v>
      </c>
      <c r="C10" s="54">
        <f t="shared" si="0"/>
        <v>1543.8</v>
      </c>
      <c r="D10" s="53">
        <f t="shared" si="2"/>
        <v>609.7202329739406</v>
      </c>
      <c r="E10" s="38">
        <v>31</v>
      </c>
      <c r="F10" s="53">
        <f t="shared" si="4"/>
        <v>2471.5806380386666</v>
      </c>
      <c r="G10" s="59">
        <f t="shared" si="1"/>
        <v>792.63591061900036</v>
      </c>
      <c r="I10" s="117"/>
      <c r="J10" s="118"/>
      <c r="K10" s="119"/>
      <c r="L10" s="120"/>
    </row>
    <row r="11" spans="1:14" ht="15" customHeight="1" x14ac:dyDescent="0.2">
      <c r="A11" s="38">
        <v>30</v>
      </c>
      <c r="B11" s="53">
        <f t="shared" si="3"/>
        <v>1839.8872415400001</v>
      </c>
      <c r="C11" s="54">
        <f t="shared" si="0"/>
        <v>1493.9999999999998</v>
      </c>
      <c r="D11" s="53">
        <f t="shared" si="2"/>
        <v>590.05183836187803</v>
      </c>
      <c r="E11" s="38">
        <v>30</v>
      </c>
      <c r="F11" s="53">
        <f t="shared" si="4"/>
        <v>2391.8522303599998</v>
      </c>
      <c r="G11" s="59">
        <f t="shared" si="1"/>
        <v>767.06701027645192</v>
      </c>
      <c r="I11" s="233" t="s">
        <v>60</v>
      </c>
      <c r="J11" s="234"/>
      <c r="K11" s="234"/>
      <c r="L11" s="235"/>
    </row>
    <row r="12" spans="1:14" ht="15" customHeight="1" thickBot="1" x14ac:dyDescent="0.25">
      <c r="A12" s="38">
        <v>29</v>
      </c>
      <c r="B12" s="53">
        <f t="shared" si="3"/>
        <v>1778.5576668220001</v>
      </c>
      <c r="C12" s="54">
        <f t="shared" si="0"/>
        <v>1444.2</v>
      </c>
      <c r="D12" s="53">
        <f t="shared" si="2"/>
        <v>570.38344374981546</v>
      </c>
      <c r="E12" s="38">
        <v>29</v>
      </c>
      <c r="F12" s="53">
        <f t="shared" si="4"/>
        <v>2312.1238226813334</v>
      </c>
      <c r="G12" s="59">
        <f t="shared" si="1"/>
        <v>741.49810993390361</v>
      </c>
      <c r="I12" s="236"/>
      <c r="J12" s="237"/>
      <c r="K12" s="237"/>
      <c r="L12" s="238"/>
    </row>
    <row r="13" spans="1:14" ht="15" customHeight="1" thickBot="1" x14ac:dyDescent="0.25">
      <c r="A13" s="38">
        <v>28</v>
      </c>
      <c r="B13" s="53">
        <f t="shared" si="3"/>
        <v>1717.2280921040001</v>
      </c>
      <c r="C13" s="54">
        <f t="shared" si="0"/>
        <v>1394.4000000000003</v>
      </c>
      <c r="D13" s="53">
        <f t="shared" si="2"/>
        <v>550.71504913775277</v>
      </c>
      <c r="E13" s="38">
        <v>28</v>
      </c>
      <c r="F13" s="53">
        <f t="shared" si="4"/>
        <v>2232.3954150026666</v>
      </c>
      <c r="G13" s="59">
        <f t="shared" si="1"/>
        <v>715.92920959135517</v>
      </c>
      <c r="I13" s="114"/>
      <c r="J13" s="115" t="s">
        <v>53</v>
      </c>
      <c r="K13" s="130" t="s">
        <v>54</v>
      </c>
      <c r="L13" s="116" t="s">
        <v>55</v>
      </c>
    </row>
    <row r="14" spans="1:14" ht="15" customHeight="1" x14ac:dyDescent="0.2">
      <c r="A14" s="38">
        <v>27</v>
      </c>
      <c r="B14" s="53">
        <f t="shared" si="3"/>
        <v>1655.8985173860001</v>
      </c>
      <c r="C14" s="54">
        <f t="shared" si="0"/>
        <v>1344.6</v>
      </c>
      <c r="D14" s="53">
        <f t="shared" si="2"/>
        <v>531.0466545256902</v>
      </c>
      <c r="E14" s="38">
        <v>27</v>
      </c>
      <c r="F14" s="53">
        <f t="shared" si="4"/>
        <v>2152.6670073239998</v>
      </c>
      <c r="G14" s="59">
        <f t="shared" si="1"/>
        <v>690.36030924880674</v>
      </c>
      <c r="I14" s="239" t="s">
        <v>56</v>
      </c>
      <c r="J14" s="241">
        <f>IF(L8&gt;=J4,L8,J4)</f>
        <v>1929</v>
      </c>
      <c r="K14" s="243">
        <v>24.27</v>
      </c>
      <c r="L14" s="249">
        <f>J14*K14%</f>
        <v>468.16829999999999</v>
      </c>
    </row>
    <row r="15" spans="1:14" ht="15" customHeight="1" thickBot="1" x14ac:dyDescent="0.25">
      <c r="A15" s="38">
        <v>26</v>
      </c>
      <c r="B15" s="53">
        <f t="shared" si="3"/>
        <v>1594.5689426680001</v>
      </c>
      <c r="C15" s="54">
        <f t="shared" si="0"/>
        <v>1294.8</v>
      </c>
      <c r="D15" s="53">
        <f t="shared" si="2"/>
        <v>511.37825991362763</v>
      </c>
      <c r="E15" s="38">
        <v>26</v>
      </c>
      <c r="F15" s="53">
        <f t="shared" si="4"/>
        <v>2072.9385996453334</v>
      </c>
      <c r="G15" s="59">
        <f t="shared" si="1"/>
        <v>664.79140890625843</v>
      </c>
      <c r="I15" s="240"/>
      <c r="J15" s="242"/>
      <c r="K15" s="244"/>
      <c r="L15" s="250"/>
    </row>
    <row r="16" spans="1:14" ht="15" customHeight="1" x14ac:dyDescent="0.2">
      <c r="A16" s="38">
        <v>25</v>
      </c>
      <c r="B16" s="53">
        <f t="shared" si="3"/>
        <v>1533.2393679500001</v>
      </c>
      <c r="C16" s="54">
        <f t="shared" si="0"/>
        <v>1245</v>
      </c>
      <c r="D16" s="53">
        <f t="shared" si="2"/>
        <v>491.709865301565</v>
      </c>
      <c r="E16" s="38">
        <v>25</v>
      </c>
      <c r="F16" s="53">
        <f t="shared" si="4"/>
        <v>1993.2101919666666</v>
      </c>
      <c r="G16" s="59">
        <f t="shared" si="1"/>
        <v>639.22250856370999</v>
      </c>
      <c r="I16" s="247" t="s">
        <v>57</v>
      </c>
      <c r="J16" s="241">
        <f>IF(L8&gt;=L4,L8,L4)</f>
        <v>1381.2</v>
      </c>
      <c r="K16" s="243">
        <v>7.8</v>
      </c>
      <c r="L16" s="245">
        <f>J16*K16%</f>
        <v>107.73360000000001</v>
      </c>
    </row>
    <row r="17" spans="1:14" ht="15" customHeight="1" thickBot="1" x14ac:dyDescent="0.25">
      <c r="A17" s="38">
        <v>24</v>
      </c>
      <c r="B17" s="53">
        <f t="shared" si="3"/>
        <v>1471.9097932320001</v>
      </c>
      <c r="C17" s="54">
        <f t="shared" si="0"/>
        <v>1195.1999999999998</v>
      </c>
      <c r="D17" s="53">
        <f t="shared" si="2"/>
        <v>472.04147068950243</v>
      </c>
      <c r="E17" s="38">
        <v>24</v>
      </c>
      <c r="F17" s="53">
        <f t="shared" si="4"/>
        <v>1913.481784288</v>
      </c>
      <c r="G17" s="59">
        <f t="shared" si="1"/>
        <v>613.65360822116156</v>
      </c>
      <c r="I17" s="248"/>
      <c r="J17" s="242"/>
      <c r="K17" s="244">
        <v>0.2</v>
      </c>
      <c r="L17" s="246"/>
    </row>
    <row r="18" spans="1:14" ht="15" customHeight="1" thickBot="1" x14ac:dyDescent="0.25">
      <c r="A18" s="38">
        <v>23</v>
      </c>
      <c r="B18" s="53">
        <f t="shared" si="3"/>
        <v>1410.5802185140001</v>
      </c>
      <c r="C18" s="54">
        <f t="shared" si="0"/>
        <v>1145.3999999999999</v>
      </c>
      <c r="D18" s="53">
        <f t="shared" si="2"/>
        <v>452.3730760774398</v>
      </c>
      <c r="E18" s="38">
        <v>23</v>
      </c>
      <c r="F18" s="53">
        <f t="shared" si="4"/>
        <v>1833.7533766093334</v>
      </c>
      <c r="G18" s="59">
        <f t="shared" si="1"/>
        <v>588.08470787861313</v>
      </c>
      <c r="I18" s="227" t="s">
        <v>61</v>
      </c>
      <c r="J18" s="228"/>
      <c r="K18" s="131">
        <f>(K14+K16)</f>
        <v>32.07</v>
      </c>
      <c r="L18" s="127">
        <f>SUM(L14:L17)</f>
        <v>575.90189999999996</v>
      </c>
    </row>
    <row r="19" spans="1:14" ht="15" customHeight="1" x14ac:dyDescent="0.2">
      <c r="A19" s="38">
        <v>22</v>
      </c>
      <c r="B19" s="53">
        <f t="shared" si="3"/>
        <v>1349.2506437960001</v>
      </c>
      <c r="C19" s="54">
        <f t="shared" si="0"/>
        <v>1095.5999999999999</v>
      </c>
      <c r="D19" s="53">
        <f t="shared" si="2"/>
        <v>432.70468146537718</v>
      </c>
      <c r="E19" s="38">
        <v>22</v>
      </c>
      <c r="F19" s="53">
        <f t="shared" si="4"/>
        <v>1754.0249689306663</v>
      </c>
      <c r="G19" s="59">
        <f t="shared" si="1"/>
        <v>562.5158075360647</v>
      </c>
      <c r="I19" s="123"/>
      <c r="J19" s="124"/>
      <c r="K19" s="125"/>
      <c r="L19" s="126"/>
    </row>
    <row r="20" spans="1:14" ht="15" customHeight="1" x14ac:dyDescent="0.2">
      <c r="A20" s="38">
        <v>21</v>
      </c>
      <c r="B20" s="53">
        <f t="shared" si="3"/>
        <v>1287.9210690780001</v>
      </c>
      <c r="C20" s="54">
        <f t="shared" si="0"/>
        <v>1045.8</v>
      </c>
      <c r="D20" s="53">
        <f t="shared" si="2"/>
        <v>413.03628685331461</v>
      </c>
      <c r="E20" s="38">
        <v>21</v>
      </c>
      <c r="F20" s="53">
        <f t="shared" si="4"/>
        <v>1674.2965612519999</v>
      </c>
      <c r="G20" s="59">
        <f t="shared" si="1"/>
        <v>536.94690719351638</v>
      </c>
      <c r="I20" s="269" t="s">
        <v>76</v>
      </c>
      <c r="J20" s="269"/>
      <c r="K20" s="269"/>
      <c r="L20" s="269"/>
      <c r="M20" s="269"/>
      <c r="N20" s="269"/>
    </row>
    <row r="21" spans="1:14" ht="15" customHeight="1" x14ac:dyDescent="0.2">
      <c r="A21" s="38">
        <v>20</v>
      </c>
      <c r="B21" s="53">
        <f t="shared" si="3"/>
        <v>1226.5914943600001</v>
      </c>
      <c r="C21" s="54">
        <f t="shared" si="0"/>
        <v>996</v>
      </c>
      <c r="D21" s="53">
        <f t="shared" si="2"/>
        <v>393.36789224125198</v>
      </c>
      <c r="E21" s="38">
        <v>20</v>
      </c>
      <c r="F21" s="53">
        <f t="shared" si="4"/>
        <v>1594.5681535733331</v>
      </c>
      <c r="G21" s="59">
        <f t="shared" si="1"/>
        <v>511.37800685096789</v>
      </c>
      <c r="I21" s="269"/>
      <c r="J21" s="269"/>
      <c r="K21" s="269"/>
      <c r="L21" s="269"/>
      <c r="M21" s="269"/>
      <c r="N21" s="269"/>
    </row>
    <row r="22" spans="1:14" ht="15" customHeight="1" thickBot="1" x14ac:dyDescent="0.25">
      <c r="A22" s="38">
        <v>19</v>
      </c>
      <c r="B22" s="53">
        <f t="shared" si="3"/>
        <v>1165.2619196420001</v>
      </c>
      <c r="C22" s="54">
        <f t="shared" si="0"/>
        <v>946.19999999999993</v>
      </c>
      <c r="D22" s="53">
        <f t="shared" si="2"/>
        <v>373.69949762918941</v>
      </c>
      <c r="E22" s="38">
        <v>19</v>
      </c>
      <c r="F22" s="53">
        <f t="shared" si="4"/>
        <v>1514.8397458946665</v>
      </c>
      <c r="G22" s="59">
        <f t="shared" si="1"/>
        <v>485.80910650841952</v>
      </c>
      <c r="I22" s="35"/>
      <c r="J22" s="19"/>
      <c r="L22" s="112"/>
    </row>
    <row r="23" spans="1:14" ht="15" customHeight="1" x14ac:dyDescent="0.2">
      <c r="A23" s="38">
        <v>18</v>
      </c>
      <c r="B23" s="53">
        <f t="shared" si="3"/>
        <v>1103.9323449240001</v>
      </c>
      <c r="C23" s="54">
        <f t="shared" si="0"/>
        <v>896.40000000000009</v>
      </c>
      <c r="D23" s="53">
        <f t="shared" si="2"/>
        <v>354.03110301712678</v>
      </c>
      <c r="E23" s="38">
        <v>18</v>
      </c>
      <c r="F23" s="53">
        <f t="shared" si="4"/>
        <v>1435.1113382159999</v>
      </c>
      <c r="G23" s="59">
        <f t="shared" si="1"/>
        <v>460.24020616587114</v>
      </c>
      <c r="I23" s="231" t="s">
        <v>62</v>
      </c>
      <c r="J23" s="231"/>
      <c r="K23" s="232"/>
      <c r="L23" s="251">
        <v>0</v>
      </c>
    </row>
    <row r="24" spans="1:14" ht="15" customHeight="1" thickBot="1" x14ac:dyDescent="0.25">
      <c r="A24" s="38">
        <v>17</v>
      </c>
      <c r="B24" s="53">
        <f t="shared" si="3"/>
        <v>1042.6027702060001</v>
      </c>
      <c r="C24" s="54">
        <f t="shared" si="0"/>
        <v>846.5999999999998</v>
      </c>
      <c r="D24" s="53">
        <f t="shared" si="2"/>
        <v>334.36270840506421</v>
      </c>
      <c r="E24" s="38">
        <v>17</v>
      </c>
      <c r="F24" s="53">
        <f t="shared" si="4"/>
        <v>1355.3829305373331</v>
      </c>
      <c r="G24" s="59">
        <f t="shared" si="1"/>
        <v>434.67130582332271</v>
      </c>
      <c r="I24" s="231"/>
      <c r="J24" s="231"/>
      <c r="K24" s="232"/>
      <c r="L24" s="252"/>
    </row>
    <row r="25" spans="1:14" ht="15" customHeight="1" thickBot="1" x14ac:dyDescent="0.25">
      <c r="A25" s="38">
        <v>16</v>
      </c>
      <c r="B25" s="53">
        <f t="shared" si="3"/>
        <v>981.27319548800006</v>
      </c>
      <c r="C25" s="54">
        <f t="shared" si="0"/>
        <v>796.8</v>
      </c>
      <c r="D25" s="53">
        <f t="shared" si="2"/>
        <v>314.69431379300158</v>
      </c>
      <c r="E25" s="38">
        <v>16</v>
      </c>
      <c r="F25" s="53">
        <f t="shared" si="4"/>
        <v>1275.6545228586665</v>
      </c>
      <c r="G25" s="59">
        <f t="shared" si="1"/>
        <v>409.10240548077434</v>
      </c>
      <c r="I25" s="35"/>
      <c r="J25" s="19"/>
      <c r="L25" s="112"/>
    </row>
    <row r="26" spans="1:14" ht="15" customHeight="1" x14ac:dyDescent="0.2">
      <c r="A26" s="38">
        <v>15</v>
      </c>
      <c r="B26" s="53">
        <f t="shared" si="3"/>
        <v>919.94362077000005</v>
      </c>
      <c r="C26" s="54">
        <f t="shared" si="0"/>
        <v>746.99999999999989</v>
      </c>
      <c r="D26" s="53">
        <f t="shared" si="2"/>
        <v>295.02591918093901</v>
      </c>
      <c r="E26" s="38">
        <v>15</v>
      </c>
      <c r="F26" s="53">
        <f t="shared" si="4"/>
        <v>1195.9261151799999</v>
      </c>
      <c r="G26" s="59">
        <f t="shared" si="1"/>
        <v>383.53350513822596</v>
      </c>
      <c r="I26" s="231" t="s">
        <v>67</v>
      </c>
      <c r="J26" s="231"/>
      <c r="K26" s="232"/>
      <c r="L26" s="229">
        <v>0</v>
      </c>
    </row>
    <row r="27" spans="1:14" ht="15" customHeight="1" thickBot="1" x14ac:dyDescent="0.25">
      <c r="A27" s="38">
        <v>14</v>
      </c>
      <c r="B27" s="53">
        <f t="shared" si="3"/>
        <v>858.61404605200005</v>
      </c>
      <c r="C27" s="54">
        <f t="shared" si="0"/>
        <v>697.20000000000016</v>
      </c>
      <c r="D27" s="53">
        <f t="shared" si="2"/>
        <v>275.35752456887639</v>
      </c>
      <c r="E27" s="38">
        <v>14</v>
      </c>
      <c r="F27" s="53">
        <f t="shared" si="4"/>
        <v>1116.1977075013333</v>
      </c>
      <c r="G27" s="59">
        <f t="shared" si="1"/>
        <v>357.96460479567759</v>
      </c>
      <c r="I27" s="231"/>
      <c r="J27" s="231"/>
      <c r="K27" s="232"/>
      <c r="L27" s="230"/>
    </row>
    <row r="28" spans="1:14" ht="15" customHeight="1" thickBot="1" x14ac:dyDescent="0.25">
      <c r="A28" s="38">
        <v>13</v>
      </c>
      <c r="B28" s="53">
        <f t="shared" si="3"/>
        <v>797.28447133400005</v>
      </c>
      <c r="C28" s="54">
        <f t="shared" si="0"/>
        <v>647.4</v>
      </c>
      <c r="D28" s="53">
        <f t="shared" si="2"/>
        <v>255.68912995681382</v>
      </c>
      <c r="E28" s="38">
        <v>13</v>
      </c>
      <c r="F28" s="53">
        <f t="shared" si="4"/>
        <v>1036.4692998226667</v>
      </c>
      <c r="G28" s="59">
        <f t="shared" si="1"/>
        <v>332.39570445312921</v>
      </c>
      <c r="I28" s="35"/>
      <c r="J28" s="19"/>
      <c r="L28" s="112"/>
    </row>
    <row r="29" spans="1:14" ht="15" customHeight="1" x14ac:dyDescent="0.2">
      <c r="A29" s="38">
        <v>12</v>
      </c>
      <c r="B29" s="53">
        <f t="shared" si="3"/>
        <v>735.95489661600004</v>
      </c>
      <c r="C29" s="54">
        <f t="shared" si="0"/>
        <v>597.59999999999991</v>
      </c>
      <c r="D29" s="53">
        <f t="shared" si="2"/>
        <v>236.02073534475122</v>
      </c>
      <c r="E29" s="38">
        <v>12</v>
      </c>
      <c r="F29" s="53">
        <f t="shared" si="4"/>
        <v>956.74089214399999</v>
      </c>
      <c r="G29" s="59">
        <f t="shared" si="1"/>
        <v>306.82680411058078</v>
      </c>
      <c r="I29" s="233" t="s">
        <v>63</v>
      </c>
      <c r="J29" s="234"/>
      <c r="K29" s="234"/>
      <c r="L29" s="235"/>
    </row>
    <row r="30" spans="1:14" ht="15" customHeight="1" thickBot="1" x14ac:dyDescent="0.25">
      <c r="A30" s="38">
        <v>11</v>
      </c>
      <c r="B30" s="53">
        <f t="shared" si="3"/>
        <v>674.62532189800004</v>
      </c>
      <c r="C30" s="54">
        <f t="shared" si="0"/>
        <v>547.79999999999995</v>
      </c>
      <c r="D30" s="53">
        <f t="shared" si="2"/>
        <v>216.35234073268859</v>
      </c>
      <c r="E30" s="38">
        <v>11</v>
      </c>
      <c r="F30" s="53">
        <f t="shared" si="4"/>
        <v>877.01248446533316</v>
      </c>
      <c r="G30" s="59">
        <f t="shared" si="1"/>
        <v>281.25790376803235</v>
      </c>
      <c r="I30" s="236"/>
      <c r="J30" s="237"/>
      <c r="K30" s="237"/>
      <c r="L30" s="238"/>
    </row>
    <row r="31" spans="1:14" ht="15" customHeight="1" thickBot="1" x14ac:dyDescent="0.25">
      <c r="A31" s="38">
        <v>10</v>
      </c>
      <c r="B31" s="53">
        <f t="shared" si="3"/>
        <v>613.29574718000003</v>
      </c>
      <c r="C31" s="54">
        <f t="shared" si="0"/>
        <v>498</v>
      </c>
      <c r="D31" s="53">
        <f t="shared" si="2"/>
        <v>196.68394612062599</v>
      </c>
      <c r="E31" s="38">
        <v>10</v>
      </c>
      <c r="F31" s="53">
        <f t="shared" si="4"/>
        <v>797.28407678666656</v>
      </c>
      <c r="G31" s="59">
        <f t="shared" si="1"/>
        <v>255.68900342548395</v>
      </c>
      <c r="I31" s="134" t="s">
        <v>68</v>
      </c>
      <c r="J31" s="132" t="s">
        <v>53</v>
      </c>
      <c r="K31" s="130" t="s">
        <v>69</v>
      </c>
      <c r="L31" s="116" t="s">
        <v>55</v>
      </c>
    </row>
    <row r="32" spans="1:14" ht="15" customHeight="1" x14ac:dyDescent="0.2">
      <c r="A32" s="38">
        <v>9</v>
      </c>
      <c r="B32" s="53">
        <f t="shared" si="3"/>
        <v>551.96617246200003</v>
      </c>
      <c r="C32" s="54">
        <f t="shared" si="0"/>
        <v>448.20000000000005</v>
      </c>
      <c r="D32" s="53">
        <f t="shared" si="2"/>
        <v>177.01555150856339</v>
      </c>
      <c r="E32" s="38">
        <v>9</v>
      </c>
      <c r="F32" s="53">
        <f t="shared" si="4"/>
        <v>717.55566910799996</v>
      </c>
      <c r="G32" s="59">
        <f t="shared" si="1"/>
        <v>230.12010308293557</v>
      </c>
      <c r="I32" s="258">
        <f>((L23/37.5*7.5*5)/7)*30*$C$43</f>
        <v>0</v>
      </c>
      <c r="J32" s="260">
        <f>IF(L26&lt;I32,I32,L26)</f>
        <v>0</v>
      </c>
      <c r="K32" s="262">
        <v>32.07</v>
      </c>
      <c r="L32" s="245">
        <f>J32*K32%</f>
        <v>0</v>
      </c>
    </row>
    <row r="33" spans="1:14" ht="15" customHeight="1" thickBot="1" x14ac:dyDescent="0.25">
      <c r="A33" s="38">
        <v>8</v>
      </c>
      <c r="B33" s="53">
        <f t="shared" si="3"/>
        <v>490.63659774400003</v>
      </c>
      <c r="C33" s="54">
        <f t="shared" si="0"/>
        <v>398.4</v>
      </c>
      <c r="D33" s="53">
        <f t="shared" si="2"/>
        <v>157.34715689650079</v>
      </c>
      <c r="E33" s="38">
        <v>8</v>
      </c>
      <c r="F33" s="53">
        <f t="shared" si="4"/>
        <v>637.82726142933325</v>
      </c>
      <c r="G33" s="59">
        <f t="shared" si="1"/>
        <v>204.55120274038717</v>
      </c>
      <c r="I33" s="259"/>
      <c r="J33" s="261"/>
      <c r="K33" s="263"/>
      <c r="L33" s="264"/>
    </row>
    <row r="34" spans="1:14" ht="15" customHeight="1" thickBot="1" x14ac:dyDescent="0.25">
      <c r="A34" s="38">
        <v>7</v>
      </c>
      <c r="B34" s="53">
        <f t="shared" si="3"/>
        <v>429.30702302600002</v>
      </c>
      <c r="C34" s="54">
        <f t="shared" si="0"/>
        <v>348.60000000000008</v>
      </c>
      <c r="D34" s="53">
        <f t="shared" si="2"/>
        <v>137.67876228443819</v>
      </c>
      <c r="E34" s="38">
        <v>7</v>
      </c>
      <c r="F34" s="53">
        <f t="shared" si="4"/>
        <v>558.09885375066665</v>
      </c>
      <c r="G34" s="59">
        <f t="shared" si="1"/>
        <v>178.98230239783879</v>
      </c>
      <c r="I34" s="253" t="s">
        <v>64</v>
      </c>
      <c r="J34" s="254"/>
      <c r="K34" s="255"/>
      <c r="L34" s="127">
        <f>SUM(L32)</f>
        <v>0</v>
      </c>
    </row>
    <row r="35" spans="1:14" ht="15" customHeight="1" x14ac:dyDescent="0.2">
      <c r="A35" s="38">
        <v>6</v>
      </c>
      <c r="B35" s="53">
        <f t="shared" si="3"/>
        <v>367.97744830800002</v>
      </c>
      <c r="C35" s="54">
        <f t="shared" si="0"/>
        <v>298.79999999999995</v>
      </c>
      <c r="D35" s="53">
        <f t="shared" si="2"/>
        <v>118.01036767237561</v>
      </c>
      <c r="E35" s="38">
        <v>6</v>
      </c>
      <c r="F35" s="53">
        <f t="shared" si="4"/>
        <v>478.37044607199999</v>
      </c>
      <c r="G35" s="59">
        <f t="shared" si="1"/>
        <v>153.41340205529039</v>
      </c>
      <c r="I35" s="35"/>
      <c r="J35" s="19"/>
      <c r="L35" s="112"/>
      <c r="N35" s="133"/>
    </row>
    <row r="36" spans="1:14" ht="15" customHeight="1" x14ac:dyDescent="0.2">
      <c r="A36" s="38">
        <v>5</v>
      </c>
      <c r="B36" s="53">
        <f t="shared" si="3"/>
        <v>306.64787359000002</v>
      </c>
      <c r="C36" s="54">
        <f t="shared" si="0"/>
        <v>249</v>
      </c>
      <c r="D36" s="53">
        <f t="shared" si="2"/>
        <v>98.341973060312995</v>
      </c>
      <c r="E36" s="38">
        <v>5</v>
      </c>
      <c r="F36" s="53">
        <f t="shared" si="4"/>
        <v>398.64203839333328</v>
      </c>
      <c r="G36" s="59">
        <f t="shared" si="1"/>
        <v>127.84450171274197</v>
      </c>
      <c r="I36" s="256" t="s">
        <v>66</v>
      </c>
      <c r="J36" s="256"/>
      <c r="K36" s="256"/>
      <c r="L36" s="256"/>
      <c r="M36" s="257" t="s">
        <v>98</v>
      </c>
      <c r="N36" s="133"/>
    </row>
    <row r="37" spans="1:14" ht="21.6" customHeight="1" x14ac:dyDescent="0.2">
      <c r="A37" s="38">
        <v>4</v>
      </c>
      <c r="B37" s="53">
        <f t="shared" si="3"/>
        <v>245.31829887200001</v>
      </c>
      <c r="C37" s="54">
        <f t="shared" si="0"/>
        <v>199.2</v>
      </c>
      <c r="D37" s="53">
        <f t="shared" si="2"/>
        <v>78.673578448250396</v>
      </c>
      <c r="E37" s="38">
        <v>4</v>
      </c>
      <c r="F37" s="53">
        <f t="shared" si="4"/>
        <v>318.91363071466662</v>
      </c>
      <c r="G37" s="59">
        <f t="shared" si="1"/>
        <v>102.27560137019358</v>
      </c>
      <c r="I37" s="256"/>
      <c r="J37" s="256"/>
      <c r="K37" s="256"/>
      <c r="L37" s="256"/>
      <c r="M37" s="257"/>
      <c r="N37" s="133"/>
    </row>
    <row r="38" spans="1:14" ht="15" customHeight="1" x14ac:dyDescent="0.2">
      <c r="A38" s="38">
        <v>3</v>
      </c>
      <c r="B38" s="53">
        <f t="shared" si="3"/>
        <v>183.98872415400001</v>
      </c>
      <c r="C38" s="54">
        <f t="shared" si="0"/>
        <v>149.39999999999998</v>
      </c>
      <c r="D38" s="53">
        <f t="shared" si="2"/>
        <v>59.005183836187804</v>
      </c>
      <c r="E38" s="38">
        <v>3</v>
      </c>
      <c r="F38" s="53">
        <f t="shared" si="4"/>
        <v>239.185223036</v>
      </c>
      <c r="G38" s="59">
        <f t="shared" si="1"/>
        <v>76.706701027645195</v>
      </c>
      <c r="I38" s="8"/>
    </row>
    <row r="39" spans="1:14" ht="15" customHeight="1" x14ac:dyDescent="0.2">
      <c r="A39" s="38">
        <v>2</v>
      </c>
      <c r="B39" s="53">
        <f t="shared" si="3"/>
        <v>122.65914943600001</v>
      </c>
      <c r="C39" s="54">
        <f t="shared" si="0"/>
        <v>99.6</v>
      </c>
      <c r="D39" s="53">
        <f t="shared" si="2"/>
        <v>39.336789224125198</v>
      </c>
      <c r="E39" s="38">
        <v>2</v>
      </c>
      <c r="F39" s="53">
        <f t="shared" si="4"/>
        <v>159.45681535733331</v>
      </c>
      <c r="G39" s="59">
        <f t="shared" si="1"/>
        <v>51.137800685096792</v>
      </c>
      <c r="I39" s="8"/>
    </row>
    <row r="40" spans="1:14" ht="15" customHeight="1" x14ac:dyDescent="0.2">
      <c r="A40" s="39">
        <v>1</v>
      </c>
      <c r="B40" s="55">
        <f t="shared" si="3"/>
        <v>61.329574718000003</v>
      </c>
      <c r="C40" s="56">
        <f t="shared" si="0"/>
        <v>49.8</v>
      </c>
      <c r="D40" s="55">
        <f t="shared" si="2"/>
        <v>19.668394612062599</v>
      </c>
      <c r="E40" s="39">
        <v>1</v>
      </c>
      <c r="F40" s="55">
        <f t="shared" si="4"/>
        <v>79.728407678666656</v>
      </c>
      <c r="G40" s="55">
        <f t="shared" si="1"/>
        <v>25.568900342548396</v>
      </c>
      <c r="I40" s="8"/>
    </row>
    <row r="41" spans="1:14" hidden="1" x14ac:dyDescent="0.2">
      <c r="C41" s="208" t="s">
        <v>94</v>
      </c>
      <c r="D41" s="198"/>
    </row>
    <row r="42" spans="1:14" ht="13.5" hidden="1" thickBot="1" x14ac:dyDescent="0.25"/>
    <row r="43" spans="1:14" ht="42" hidden="1" customHeight="1" thickBot="1" x14ac:dyDescent="0.25">
      <c r="B43" s="199" t="s">
        <v>13</v>
      </c>
      <c r="C43" s="200">
        <v>11.62</v>
      </c>
      <c r="E43" s="17"/>
    </row>
  </sheetData>
  <sheetProtection algorithmName="SHA-512" hashValue="vMOFKLuu+op+uVXsl8SM20RnDctQnMwQ1Ikk09Nu0YbBgcDaAF2qxU/Cugbpadoi6zU7Og1xyCnGnoh66z+Sag==" saltValue="dTXNcnP2iOP6IrQ4KSrnsA==" spinCount="100000" sheet="1" objects="1" scenarios="1"/>
  <protectedRanges>
    <protectedRange sqref="M36" name="CALCULO RC"/>
    <protectedRange sqref="L8 L26" name="RET TC_1"/>
    <protectedRange sqref="L23" name="DED_1"/>
  </protectedRanges>
  <mergeCells count="35">
    <mergeCell ref="I34:K34"/>
    <mergeCell ref="I36:L37"/>
    <mergeCell ref="M36:M37"/>
    <mergeCell ref="I29:L30"/>
    <mergeCell ref="I32:I33"/>
    <mergeCell ref="J32:J33"/>
    <mergeCell ref="K32:K33"/>
    <mergeCell ref="L32:L33"/>
    <mergeCell ref="I20:N21"/>
    <mergeCell ref="I23:K24"/>
    <mergeCell ref="L23:L24"/>
    <mergeCell ref="I26:K27"/>
    <mergeCell ref="L26:L27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B2:D2"/>
    <mergeCell ref="F2:G2"/>
    <mergeCell ref="A1:G1"/>
    <mergeCell ref="I2:K2"/>
    <mergeCell ref="L2:M2"/>
  </mergeCells>
  <hyperlinks>
    <hyperlink ref="M36:M37" r:id="rId1" display="CALCULO RC E INDEMNIZACION" xr:uid="{00000000-0004-0000-0100-000000000000}"/>
  </hyperlinks>
  <pageMargins left="0.94488188976377963" right="0.86614173228346458" top="0" bottom="0.39370078740157483" header="0" footer="0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topLeftCell="B1" zoomScaleNormal="100" workbookViewId="0">
      <selection activeCell="B18" sqref="B18:C18"/>
    </sheetView>
  </sheetViews>
  <sheetFormatPr baseColWidth="10" defaultColWidth="11.5703125" defaultRowHeight="14.25" x14ac:dyDescent="0.2"/>
  <cols>
    <col min="1" max="1" width="40.7109375" style="165" customWidth="1"/>
    <col min="2" max="4" width="24.7109375" style="70" customWidth="1"/>
    <col min="5" max="5" width="8" style="5" customWidth="1"/>
    <col min="6" max="6" width="30" style="7" customWidth="1"/>
    <col min="7" max="7" width="20.7109375" style="5" customWidth="1"/>
    <col min="8" max="8" width="24.28515625" style="5" customWidth="1"/>
    <col min="9" max="9" width="20.5703125" style="5" customWidth="1"/>
    <col min="10" max="10" width="15.28515625" style="5" customWidth="1"/>
    <col min="11" max="16384" width="11.5703125" style="5"/>
  </cols>
  <sheetData>
    <row r="1" spans="1:10" s="8" customFormat="1" ht="55.5" customHeight="1" thickBot="1" x14ac:dyDescent="0.25">
      <c r="A1" s="281" t="s">
        <v>97</v>
      </c>
      <c r="B1" s="282"/>
      <c r="C1" s="282"/>
      <c r="D1" s="283"/>
      <c r="F1" s="155" t="s">
        <v>81</v>
      </c>
      <c r="G1" s="284" t="s">
        <v>48</v>
      </c>
      <c r="H1" s="285"/>
      <c r="I1" s="284" t="s">
        <v>52</v>
      </c>
      <c r="J1" s="285"/>
    </row>
    <row r="2" spans="1:10" s="36" customFormat="1" ht="34.5" customHeight="1" x14ac:dyDescent="0.2">
      <c r="A2" s="161" t="s">
        <v>80</v>
      </c>
      <c r="B2" s="279" t="s">
        <v>45</v>
      </c>
      <c r="C2" s="280"/>
      <c r="D2" s="280"/>
      <c r="E2" s="171"/>
      <c r="F2" s="121" t="s">
        <v>82</v>
      </c>
      <c r="G2" s="121" t="s">
        <v>58</v>
      </c>
      <c r="H2" s="121" t="s">
        <v>59</v>
      </c>
      <c r="I2" s="122" t="s">
        <v>50</v>
      </c>
      <c r="J2" s="121" t="s">
        <v>51</v>
      </c>
    </row>
    <row r="3" spans="1:10" s="27" customFormat="1" ht="25.5" x14ac:dyDescent="0.2">
      <c r="A3" s="136"/>
      <c r="B3" s="65" t="s">
        <v>93</v>
      </c>
      <c r="C3" s="137" t="s">
        <v>78</v>
      </c>
      <c r="D3" s="137" t="s">
        <v>84</v>
      </c>
      <c r="F3" s="138">
        <v>9.82</v>
      </c>
      <c r="G3" s="201">
        <v>1629.3</v>
      </c>
      <c r="H3" s="201">
        <v>4495.5</v>
      </c>
      <c r="I3" s="202">
        <v>1166.7</v>
      </c>
      <c r="J3" s="202">
        <v>4495.5</v>
      </c>
    </row>
    <row r="4" spans="1:10" s="21" customFormat="1" ht="30.75" customHeight="1" thickBot="1" x14ac:dyDescent="0.25">
      <c r="A4" s="162" t="s">
        <v>79</v>
      </c>
      <c r="B4" s="145">
        <v>30752.12</v>
      </c>
      <c r="C4" s="174">
        <f>B4/12</f>
        <v>2562.6766666666667</v>
      </c>
      <c r="D4" s="175">
        <f>B4/14</f>
        <v>2196.58</v>
      </c>
      <c r="F4" s="150"/>
      <c r="G4" s="151"/>
      <c r="H4" s="151"/>
      <c r="I4" s="152"/>
      <c r="J4" s="152"/>
    </row>
    <row r="5" spans="1:10" s="8" customFormat="1" ht="24" customHeight="1" thickBot="1" x14ac:dyDescent="0.25">
      <c r="A5" s="163" t="s">
        <v>70</v>
      </c>
      <c r="B5" s="146">
        <f>B4*56%</f>
        <v>17221.1872</v>
      </c>
      <c r="C5" s="146">
        <f>B5/12</f>
        <v>1435.0989333333334</v>
      </c>
      <c r="D5" s="147">
        <f>B5/14</f>
        <v>1230.0848000000001</v>
      </c>
      <c r="F5" s="272" t="s">
        <v>95</v>
      </c>
      <c r="G5" s="272"/>
      <c r="H5" s="272"/>
      <c r="I5" s="207">
        <v>0</v>
      </c>
    </row>
    <row r="6" spans="1:10" s="8" customFormat="1" ht="24" customHeight="1" x14ac:dyDescent="0.2">
      <c r="A6" s="163" t="s">
        <v>71</v>
      </c>
      <c r="B6" s="146">
        <f>B4*56%</f>
        <v>17221.1872</v>
      </c>
      <c r="C6" s="176">
        <f>B6/12</f>
        <v>1435.0989333333334</v>
      </c>
      <c r="D6" s="172">
        <f t="shared" ref="D6:D10" si="0">B6/14</f>
        <v>1230.0848000000001</v>
      </c>
      <c r="F6" s="286" t="s">
        <v>86</v>
      </c>
      <c r="G6" s="287"/>
      <c r="H6" s="287"/>
      <c r="I6" s="288"/>
      <c r="J6" s="154"/>
    </row>
    <row r="7" spans="1:10" s="8" customFormat="1" ht="24" customHeight="1" thickBot="1" x14ac:dyDescent="0.25">
      <c r="A7" s="163" t="s">
        <v>72</v>
      </c>
      <c r="B7" s="146">
        <f>B4*60%</f>
        <v>18451.271999999997</v>
      </c>
      <c r="C7" s="176">
        <f>B7/12</f>
        <v>1537.6059999999998</v>
      </c>
      <c r="D7" s="172">
        <f t="shared" si="0"/>
        <v>1317.9479999999999</v>
      </c>
      <c r="F7" s="289"/>
      <c r="G7" s="290"/>
      <c r="H7" s="290"/>
      <c r="I7" s="291"/>
      <c r="J7" s="154"/>
    </row>
    <row r="8" spans="1:10" s="8" customFormat="1" ht="24" customHeight="1" thickBot="1" x14ac:dyDescent="0.25">
      <c r="A8" s="163" t="s">
        <v>73</v>
      </c>
      <c r="B8" s="146">
        <f>B4*75%</f>
        <v>23064.09</v>
      </c>
      <c r="C8" s="146">
        <f>B8/12</f>
        <v>1922.0074999999999</v>
      </c>
      <c r="D8" s="147">
        <f t="shared" si="0"/>
        <v>1647.4349999999999</v>
      </c>
      <c r="F8" s="114"/>
      <c r="G8" s="132" t="s">
        <v>53</v>
      </c>
      <c r="H8" s="156" t="s">
        <v>54</v>
      </c>
      <c r="I8" s="139" t="s">
        <v>55</v>
      </c>
    </row>
    <row r="9" spans="1:10" s="8" customFormat="1" ht="15" customHeight="1" x14ac:dyDescent="0.2">
      <c r="A9" s="163"/>
      <c r="B9" s="146"/>
      <c r="C9" s="146"/>
      <c r="D9" s="147"/>
      <c r="F9" s="292" t="s">
        <v>56</v>
      </c>
      <c r="G9" s="241">
        <f>IF($I$5&gt;=$G$3,$I$5,$G$3)</f>
        <v>1629.3</v>
      </c>
      <c r="H9" s="262">
        <v>17.02</v>
      </c>
      <c r="I9" s="241">
        <f>G9*H9%</f>
        <v>277.30685999999997</v>
      </c>
    </row>
    <row r="10" spans="1:10" s="8" customFormat="1" ht="15" customHeight="1" thickBot="1" x14ac:dyDescent="0.25">
      <c r="A10" s="164" t="s">
        <v>74</v>
      </c>
      <c r="B10" s="148">
        <f>(SUM(B5:B8))/4</f>
        <v>18989.434099999999</v>
      </c>
      <c r="C10" s="177">
        <f>(SUM(C5:C8))/4</f>
        <v>1582.4528416666667</v>
      </c>
      <c r="D10" s="173">
        <f t="shared" si="0"/>
        <v>1356.38815</v>
      </c>
      <c r="F10" s="293"/>
      <c r="G10" s="242"/>
      <c r="H10" s="263"/>
      <c r="I10" s="242"/>
    </row>
    <row r="11" spans="1:10" ht="14.25" customHeight="1" x14ac:dyDescent="0.2">
      <c r="F11" s="292" t="s">
        <v>57</v>
      </c>
      <c r="G11" s="241">
        <f>IF($I$5&gt;=$I$3,$I$5,$I$3)</f>
        <v>1166.7</v>
      </c>
      <c r="H11" s="262">
        <v>9</v>
      </c>
      <c r="I11" s="241">
        <f>G11*H11%</f>
        <v>105.003</v>
      </c>
    </row>
    <row r="12" spans="1:10" ht="15" thickBot="1" x14ac:dyDescent="0.25">
      <c r="F12" s="293"/>
      <c r="G12" s="242"/>
      <c r="H12" s="263"/>
      <c r="I12" s="242"/>
    </row>
    <row r="13" spans="1:10" ht="24" customHeight="1" thickBot="1" x14ac:dyDescent="0.25">
      <c r="A13" s="256" t="s">
        <v>99</v>
      </c>
      <c r="B13" s="256"/>
      <c r="C13" s="256"/>
      <c r="D13" s="256"/>
      <c r="F13" s="227" t="s">
        <v>83</v>
      </c>
      <c r="G13" s="228"/>
      <c r="H13" s="158">
        <f>SUM(H9:H12)</f>
        <v>26.02</v>
      </c>
      <c r="I13" s="153">
        <f>SUM(I9:I12)</f>
        <v>382.30985999999996</v>
      </c>
    </row>
    <row r="14" spans="1:10" x14ac:dyDescent="0.2">
      <c r="A14" s="256"/>
      <c r="B14" s="256"/>
      <c r="C14" s="256"/>
      <c r="D14" s="256"/>
    </row>
    <row r="15" spans="1:10" x14ac:dyDescent="0.2">
      <c r="A15" s="270" t="s">
        <v>100</v>
      </c>
      <c r="B15" s="270"/>
      <c r="C15" s="270"/>
      <c r="D15" s="270"/>
    </row>
    <row r="16" spans="1:10" ht="15" customHeight="1" thickBot="1" x14ac:dyDescent="0.25">
      <c r="A16" s="270"/>
      <c r="B16" s="270"/>
      <c r="C16" s="270"/>
      <c r="D16" s="270"/>
    </row>
    <row r="17" spans="1:10" ht="28.5" customHeight="1" thickBot="1" x14ac:dyDescent="0.25">
      <c r="A17" s="166"/>
      <c r="B17"/>
      <c r="C17"/>
      <c r="D17"/>
      <c r="F17" s="272" t="s">
        <v>95</v>
      </c>
      <c r="G17" s="272"/>
      <c r="H17" s="272"/>
      <c r="I17" s="207">
        <v>0</v>
      </c>
    </row>
    <row r="18" spans="1:10" ht="42" customHeight="1" thickBot="1" x14ac:dyDescent="0.25">
      <c r="A18" s="178"/>
      <c r="B18" s="271"/>
      <c r="C18" s="271"/>
      <c r="D18" s="167"/>
      <c r="F18" s="273" t="s">
        <v>87</v>
      </c>
      <c r="G18" s="274"/>
      <c r="H18" s="274"/>
      <c r="I18" s="274"/>
      <c r="J18" s="183"/>
    </row>
    <row r="19" spans="1:10" ht="15" thickBot="1" x14ac:dyDescent="0.25">
      <c r="A19" s="169"/>
      <c r="B19" s="169"/>
      <c r="C19" s="169"/>
      <c r="D19" s="169"/>
      <c r="F19" s="157"/>
      <c r="G19" s="132" t="s">
        <v>53</v>
      </c>
      <c r="H19" s="156" t="s">
        <v>54</v>
      </c>
      <c r="I19" s="139" t="s">
        <v>55</v>
      </c>
      <c r="J19" s="178"/>
    </row>
    <row r="20" spans="1:10" ht="21" customHeight="1" x14ac:dyDescent="0.2">
      <c r="A20" s="179"/>
      <c r="B20" s="168"/>
      <c r="C20" s="168"/>
      <c r="D20" s="168"/>
      <c r="F20" s="247" t="s">
        <v>56</v>
      </c>
      <c r="G20" s="241">
        <f>IF($I$17&gt;=$G$3,$I$17,$G$3)</f>
        <v>1629.3</v>
      </c>
      <c r="H20" s="260">
        <v>24.1</v>
      </c>
      <c r="I20" s="277">
        <f>G20*H20%</f>
        <v>392.66130000000004</v>
      </c>
      <c r="J20" s="183"/>
    </row>
    <row r="21" spans="1:10" ht="24.75" customHeight="1" thickBot="1" x14ac:dyDescent="0.25">
      <c r="A21" s="179"/>
      <c r="B21" s="168"/>
      <c r="C21" s="168"/>
      <c r="D21" s="168"/>
      <c r="F21" s="248"/>
      <c r="G21" s="242"/>
      <c r="H21" s="261"/>
      <c r="I21" s="278"/>
      <c r="J21" s="183"/>
    </row>
    <row r="22" spans="1:10" ht="20.25" customHeight="1" x14ac:dyDescent="0.2">
      <c r="A22" s="180"/>
      <c r="B22" s="181"/>
      <c r="C22" s="181"/>
      <c r="D22" s="181"/>
      <c r="F22" s="247" t="s">
        <v>57</v>
      </c>
      <c r="G22" s="241">
        <f>IF($I$17&gt;=$I$3,$I$17,$I$3)</f>
        <v>1166.7</v>
      </c>
      <c r="H22" s="260">
        <v>7.8</v>
      </c>
      <c r="I22" s="241">
        <f>G22*H22%</f>
        <v>91.002600000000001</v>
      </c>
      <c r="J22" s="178"/>
    </row>
    <row r="23" spans="1:10" ht="14.25" customHeight="1" thickBot="1" x14ac:dyDescent="0.25">
      <c r="A23" s="160"/>
      <c r="B23" s="160"/>
      <c r="C23" s="170"/>
      <c r="D23" s="170"/>
      <c r="F23" s="248"/>
      <c r="G23" s="242"/>
      <c r="H23" s="261"/>
      <c r="I23" s="242"/>
      <c r="J23" s="178"/>
    </row>
    <row r="24" spans="1:10" ht="25.5" customHeight="1" thickBot="1" x14ac:dyDescent="0.25">
      <c r="A24" s="160"/>
      <c r="B24" s="160"/>
      <c r="C24" s="170"/>
      <c r="D24" s="170"/>
      <c r="F24" s="227" t="s">
        <v>85</v>
      </c>
      <c r="G24" s="228"/>
      <c r="H24" s="158">
        <f>(H20+H22)</f>
        <v>31.900000000000002</v>
      </c>
      <c r="I24" s="184">
        <f>(I20+I22)</f>
        <v>483.66390000000001</v>
      </c>
      <c r="J24" s="183"/>
    </row>
    <row r="25" spans="1:10" ht="26.25" customHeight="1" x14ac:dyDescent="0.2">
      <c r="A25" s="180"/>
      <c r="B25" s="181"/>
      <c r="C25" s="181"/>
      <c r="D25" s="181"/>
    </row>
    <row r="26" spans="1:10" ht="20.25" customHeight="1" x14ac:dyDescent="0.2">
      <c r="A26" s="160"/>
      <c r="B26" s="160"/>
      <c r="C26" s="182"/>
      <c r="D26" s="182"/>
      <c r="F26" s="276" t="s">
        <v>66</v>
      </c>
      <c r="G26" s="276"/>
      <c r="H26" s="276"/>
      <c r="I26" s="275" t="s">
        <v>65</v>
      </c>
    </row>
    <row r="27" spans="1:10" x14ac:dyDescent="0.2">
      <c r="A27" s="160"/>
      <c r="B27" s="160"/>
      <c r="C27" s="182"/>
      <c r="D27" s="182"/>
      <c r="F27" s="276"/>
      <c r="G27" s="276"/>
      <c r="H27" s="276"/>
      <c r="I27" s="275"/>
    </row>
    <row r="29" spans="1:10" x14ac:dyDescent="0.2">
      <c r="H29" s="159"/>
    </row>
  </sheetData>
  <protectedRanges>
    <protectedRange sqref="I26" name="CALCULO RC"/>
    <protectedRange sqref="C26:D26" name="RET PRACTICAS"/>
    <protectedRange sqref="C23:D23" name="DED"/>
    <protectedRange sqref="I5" name="RET PREDOC_1"/>
    <protectedRange sqref="I17" name="RET PREDOC_2"/>
  </protectedRanges>
  <mergeCells count="31">
    <mergeCell ref="B2:D2"/>
    <mergeCell ref="A1:D1"/>
    <mergeCell ref="F13:G13"/>
    <mergeCell ref="G11:G12"/>
    <mergeCell ref="I1:J1"/>
    <mergeCell ref="G1:H1"/>
    <mergeCell ref="G9:G10"/>
    <mergeCell ref="F5:H5"/>
    <mergeCell ref="F6:I7"/>
    <mergeCell ref="I11:I12"/>
    <mergeCell ref="F9:F10"/>
    <mergeCell ref="F11:F12"/>
    <mergeCell ref="H9:H10"/>
    <mergeCell ref="I9:I10"/>
    <mergeCell ref="H11:H12"/>
    <mergeCell ref="A13:D14"/>
    <mergeCell ref="I26:I27"/>
    <mergeCell ref="F26:H27"/>
    <mergeCell ref="I20:I21"/>
    <mergeCell ref="I22:I23"/>
    <mergeCell ref="F24:G24"/>
    <mergeCell ref="H22:H23"/>
    <mergeCell ref="G22:G23"/>
    <mergeCell ref="F22:F23"/>
    <mergeCell ref="A15:D16"/>
    <mergeCell ref="B18:C18"/>
    <mergeCell ref="F17:H17"/>
    <mergeCell ref="F18:I18"/>
    <mergeCell ref="H20:H21"/>
    <mergeCell ref="G20:G21"/>
    <mergeCell ref="F20:F21"/>
  </mergeCells>
  <hyperlinks>
    <hyperlink ref="I26:I27" r:id="rId1" display="CALCULO RC" xr:uid="{00000000-0004-0000-02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4"/>
  <sheetViews>
    <sheetView topLeftCell="D1" zoomScaleNormal="100" workbookViewId="0">
      <selection activeCell="M18" sqref="M18"/>
    </sheetView>
  </sheetViews>
  <sheetFormatPr baseColWidth="10" defaultColWidth="11.5703125" defaultRowHeight="14.25" x14ac:dyDescent="0.2"/>
  <cols>
    <col min="1" max="1" width="18.42578125" style="4" customWidth="1"/>
    <col min="2" max="2" width="34.28515625" style="68" customWidth="1"/>
    <col min="3" max="3" width="14.7109375" style="69" hidden="1" customWidth="1"/>
    <col min="4" max="4" width="26.710937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17.7109375" style="7" customWidth="1"/>
    <col min="10" max="10" width="20.42578125" style="5" customWidth="1"/>
    <col min="11" max="11" width="19.42578125" style="5" customWidth="1"/>
    <col min="12" max="12" width="17.42578125" style="5" customWidth="1"/>
    <col min="13" max="13" width="15.42578125" style="5" customWidth="1"/>
    <col min="14" max="16384" width="11.5703125" style="5"/>
  </cols>
  <sheetData>
    <row r="1" spans="1:16" s="8" customFormat="1" ht="65.25" customHeight="1" x14ac:dyDescent="0.2">
      <c r="A1" s="217" t="s">
        <v>109</v>
      </c>
      <c r="B1" s="218"/>
      <c r="C1" s="218"/>
      <c r="D1" s="218"/>
      <c r="E1" s="218"/>
      <c r="F1" s="218"/>
      <c r="G1" s="218"/>
      <c r="K1" s="19"/>
    </row>
    <row r="2" spans="1:16" s="36" customFormat="1" ht="24.75" customHeight="1" x14ac:dyDescent="0.2">
      <c r="A2" s="44"/>
      <c r="B2" s="296" t="s">
        <v>45</v>
      </c>
      <c r="C2" s="296"/>
      <c r="D2" s="297"/>
      <c r="E2" s="42"/>
      <c r="F2" s="296" t="s">
        <v>46</v>
      </c>
      <c r="G2" s="297"/>
      <c r="I2" s="219" t="s">
        <v>48</v>
      </c>
      <c r="J2" s="219"/>
      <c r="K2" s="219"/>
      <c r="L2" s="219" t="s">
        <v>52</v>
      </c>
      <c r="M2" s="219"/>
      <c r="O2" s="5"/>
      <c r="P2" s="5"/>
    </row>
    <row r="3" spans="1:16" s="27" customFormat="1" ht="38.25" x14ac:dyDescent="0.2">
      <c r="A3" s="43" t="s">
        <v>43</v>
      </c>
      <c r="B3" s="65" t="s">
        <v>44</v>
      </c>
      <c r="C3" s="66" t="s">
        <v>14</v>
      </c>
      <c r="D3" s="67" t="s">
        <v>106</v>
      </c>
      <c r="E3" s="40" t="s">
        <v>43</v>
      </c>
      <c r="F3" s="65" t="s">
        <v>44</v>
      </c>
      <c r="G3" s="67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  <c r="O3" s="5"/>
      <c r="P3" s="5"/>
    </row>
    <row r="4" spans="1:16" ht="15" customHeight="1" x14ac:dyDescent="0.2">
      <c r="A4" s="37">
        <v>37.5</v>
      </c>
      <c r="B4" s="71">
        <f>PARAMETROS!B5</f>
        <v>1699.8952912249999</v>
      </c>
      <c r="C4" s="72"/>
      <c r="D4" s="71"/>
      <c r="E4" s="37">
        <v>37.5</v>
      </c>
      <c r="F4" s="71">
        <f>PARAMETROS!C5</f>
        <v>2209.8639656250002</v>
      </c>
      <c r="G4" s="71">
        <f>IF(F4&gt;$K$4,$K$4*$K$18%,F4*$K$18%)</f>
        <v>708.70337377593751</v>
      </c>
      <c r="I4" s="220">
        <v>1</v>
      </c>
      <c r="J4" s="221">
        <v>1929</v>
      </c>
      <c r="K4" s="221">
        <v>4909.5</v>
      </c>
      <c r="L4" s="225">
        <v>1381.2</v>
      </c>
      <c r="M4" s="225">
        <v>4909.5</v>
      </c>
      <c r="N4" s="8"/>
    </row>
    <row r="5" spans="1:16" ht="15" customHeight="1" x14ac:dyDescent="0.2">
      <c r="A5" s="38">
        <v>36</v>
      </c>
      <c r="B5" s="73">
        <f>PRODUCT(B$4,A5)/A$4</f>
        <v>1631.899479576</v>
      </c>
      <c r="C5" s="74">
        <f t="shared" ref="C5:C40" si="0">(A5/$A$4*7.5*5)/7*30*$C$43</f>
        <v>1792.8000000000002</v>
      </c>
      <c r="D5" s="73">
        <f>IF(B5&lt;C5,C5*$K$18%,B5*$K$18%)</f>
        <v>574.95096000000001</v>
      </c>
      <c r="E5" s="38">
        <v>36</v>
      </c>
      <c r="F5" s="73">
        <f>PRODUCT(F$4,E5)/E$4</f>
        <v>2121.4694070000005</v>
      </c>
      <c r="G5" s="73">
        <f t="shared" ref="G5:G40" si="1">IF(F5&gt;$K$4,$K$4*$K$18%,F5*$K$18%)</f>
        <v>680.35523882490008</v>
      </c>
      <c r="I5" s="220"/>
      <c r="J5" s="222"/>
      <c r="K5" s="222"/>
      <c r="L5" s="226"/>
      <c r="M5" s="226"/>
      <c r="N5" s="8"/>
    </row>
    <row r="6" spans="1:16" ht="15" customHeight="1" x14ac:dyDescent="0.2">
      <c r="A6" s="38">
        <v>35</v>
      </c>
      <c r="B6" s="73">
        <f t="shared" ref="B6:B40" si="2">PRODUCT(B$4,A6)/A$4</f>
        <v>1586.5689384766665</v>
      </c>
      <c r="C6" s="74">
        <f t="shared" si="0"/>
        <v>1742.9999999999998</v>
      </c>
      <c r="D6" s="73">
        <f t="shared" ref="D6:D40" si="3">IF(B6&lt;C6,C6*$K$18%,B6*$K$18%)</f>
        <v>558.98009999999988</v>
      </c>
      <c r="E6" s="38">
        <v>35</v>
      </c>
      <c r="F6" s="73">
        <f t="shared" ref="F6:F40" si="4">PRODUCT(F$4,E6)/E$4</f>
        <v>2062.5397012500002</v>
      </c>
      <c r="G6" s="73">
        <f t="shared" si="1"/>
        <v>661.45648219087502</v>
      </c>
      <c r="I6" s="35"/>
      <c r="J6" s="8"/>
      <c r="K6" s="8"/>
      <c r="L6" s="112"/>
      <c r="M6" s="8"/>
      <c r="N6" s="8"/>
    </row>
    <row r="7" spans="1:16" ht="15" customHeight="1" thickBot="1" x14ac:dyDescent="0.25">
      <c r="A7" s="38">
        <v>34</v>
      </c>
      <c r="B7" s="73">
        <f t="shared" si="2"/>
        <v>1541.2383973773333</v>
      </c>
      <c r="C7" s="74">
        <f t="shared" si="0"/>
        <v>1693.1999999999996</v>
      </c>
      <c r="D7" s="73">
        <f t="shared" si="3"/>
        <v>543.00923999999986</v>
      </c>
      <c r="E7" s="38">
        <v>34</v>
      </c>
      <c r="F7" s="73">
        <f t="shared" si="4"/>
        <v>2003.6099955000002</v>
      </c>
      <c r="G7" s="73">
        <f t="shared" si="1"/>
        <v>642.55772555685007</v>
      </c>
      <c r="I7" s="35"/>
      <c r="J7" s="19"/>
      <c r="K7" s="8"/>
      <c r="L7" s="112"/>
      <c r="M7" s="8"/>
      <c r="N7" s="8"/>
    </row>
    <row r="8" spans="1:16" ht="15" customHeight="1" x14ac:dyDescent="0.2">
      <c r="A8" s="38">
        <v>33</v>
      </c>
      <c r="B8" s="73">
        <f t="shared" si="2"/>
        <v>1495.9078562780001</v>
      </c>
      <c r="C8" s="74">
        <f t="shared" si="0"/>
        <v>1643.4</v>
      </c>
      <c r="D8" s="73">
        <f t="shared" si="3"/>
        <v>527.03837999999996</v>
      </c>
      <c r="E8" s="38">
        <v>33</v>
      </c>
      <c r="F8" s="73">
        <f t="shared" si="4"/>
        <v>1944.6802897500002</v>
      </c>
      <c r="G8" s="73">
        <f t="shared" si="1"/>
        <v>623.65896892282501</v>
      </c>
      <c r="I8" s="231" t="s">
        <v>88</v>
      </c>
      <c r="J8" s="231"/>
      <c r="K8" s="232"/>
      <c r="L8" s="229">
        <v>1500</v>
      </c>
      <c r="M8" s="8"/>
      <c r="N8" s="8"/>
    </row>
    <row r="9" spans="1:16" ht="15" customHeight="1" thickBot="1" x14ac:dyDescent="0.25">
      <c r="A9" s="38">
        <v>32</v>
      </c>
      <c r="B9" s="73">
        <f t="shared" si="2"/>
        <v>1450.5773151786666</v>
      </c>
      <c r="C9" s="74">
        <f t="shared" si="0"/>
        <v>1593.6</v>
      </c>
      <c r="D9" s="73">
        <f t="shared" si="3"/>
        <v>511.06751999999994</v>
      </c>
      <c r="E9" s="38">
        <v>32</v>
      </c>
      <c r="F9" s="73">
        <f t="shared" si="4"/>
        <v>1885.7505840000001</v>
      </c>
      <c r="G9" s="73">
        <f t="shared" si="1"/>
        <v>604.76021228880006</v>
      </c>
      <c r="I9" s="231"/>
      <c r="J9" s="231"/>
      <c r="K9" s="232"/>
      <c r="L9" s="230"/>
      <c r="M9" s="8"/>
      <c r="N9" s="8"/>
    </row>
    <row r="10" spans="1:16" ht="15" customHeight="1" thickBot="1" x14ac:dyDescent="0.25">
      <c r="A10" s="38">
        <v>31</v>
      </c>
      <c r="B10" s="73">
        <f t="shared" si="2"/>
        <v>1405.2467740793331</v>
      </c>
      <c r="C10" s="74">
        <f t="shared" si="0"/>
        <v>1543.8</v>
      </c>
      <c r="D10" s="73">
        <f t="shared" si="3"/>
        <v>495.09665999999999</v>
      </c>
      <c r="E10" s="38">
        <v>31</v>
      </c>
      <c r="F10" s="73">
        <f t="shared" si="4"/>
        <v>1826.8208782500001</v>
      </c>
      <c r="G10" s="73">
        <f t="shared" si="1"/>
        <v>585.861455654775</v>
      </c>
      <c r="I10" s="117"/>
      <c r="J10" s="118"/>
      <c r="K10" s="119"/>
      <c r="L10" s="120"/>
      <c r="M10" s="8"/>
      <c r="N10" s="8"/>
    </row>
    <row r="11" spans="1:16" ht="15" customHeight="1" x14ac:dyDescent="0.2">
      <c r="A11" s="38">
        <v>30</v>
      </c>
      <c r="B11" s="73">
        <f t="shared" si="2"/>
        <v>1359.9162329799999</v>
      </c>
      <c r="C11" s="74">
        <f t="shared" si="0"/>
        <v>1493.9999999999998</v>
      </c>
      <c r="D11" s="73">
        <f t="shared" si="3"/>
        <v>479.12579999999991</v>
      </c>
      <c r="E11" s="38">
        <v>30</v>
      </c>
      <c r="F11" s="73">
        <f t="shared" si="4"/>
        <v>1767.8911725</v>
      </c>
      <c r="G11" s="73">
        <f t="shared" si="1"/>
        <v>566.96269902074994</v>
      </c>
      <c r="I11" s="233" t="s">
        <v>60</v>
      </c>
      <c r="J11" s="234"/>
      <c r="K11" s="234"/>
      <c r="L11" s="235"/>
      <c r="M11" s="8"/>
      <c r="N11" s="8"/>
    </row>
    <row r="12" spans="1:16" ht="15" customHeight="1" thickBot="1" x14ac:dyDescent="0.25">
      <c r="A12" s="38">
        <v>29</v>
      </c>
      <c r="B12" s="73">
        <f t="shared" si="2"/>
        <v>1314.5856918806667</v>
      </c>
      <c r="C12" s="74">
        <f t="shared" si="0"/>
        <v>1444.2</v>
      </c>
      <c r="D12" s="73">
        <f t="shared" si="3"/>
        <v>463.15494000000001</v>
      </c>
      <c r="E12" s="38">
        <v>29</v>
      </c>
      <c r="F12" s="73">
        <f t="shared" si="4"/>
        <v>1708.9614667500002</v>
      </c>
      <c r="G12" s="73">
        <f t="shared" si="1"/>
        <v>548.0639423867251</v>
      </c>
      <c r="I12" s="236"/>
      <c r="J12" s="237"/>
      <c r="K12" s="237"/>
      <c r="L12" s="238"/>
      <c r="M12" s="8"/>
      <c r="N12" s="8"/>
    </row>
    <row r="13" spans="1:16" ht="15" customHeight="1" thickBot="1" x14ac:dyDescent="0.25">
      <c r="A13" s="38">
        <v>28</v>
      </c>
      <c r="B13" s="73">
        <f t="shared" si="2"/>
        <v>1269.2551507813332</v>
      </c>
      <c r="C13" s="74">
        <f t="shared" si="0"/>
        <v>1394.4000000000003</v>
      </c>
      <c r="D13" s="73">
        <f t="shared" si="3"/>
        <v>447.18408000000011</v>
      </c>
      <c r="E13" s="38">
        <v>28</v>
      </c>
      <c r="F13" s="73">
        <f t="shared" si="4"/>
        <v>1650.0317610000002</v>
      </c>
      <c r="G13" s="73">
        <f t="shared" si="1"/>
        <v>529.16518575270004</v>
      </c>
      <c r="I13" s="114"/>
      <c r="J13" s="132" t="s">
        <v>53</v>
      </c>
      <c r="K13" s="130" t="s">
        <v>54</v>
      </c>
      <c r="L13" s="139" t="s">
        <v>55</v>
      </c>
      <c r="M13" s="8"/>
      <c r="N13" s="8"/>
    </row>
    <row r="14" spans="1:16" ht="15" customHeight="1" x14ac:dyDescent="0.2">
      <c r="A14" s="38">
        <v>27</v>
      </c>
      <c r="B14" s="73">
        <f t="shared" si="2"/>
        <v>1223.924609682</v>
      </c>
      <c r="C14" s="74">
        <f t="shared" si="0"/>
        <v>1344.6</v>
      </c>
      <c r="D14" s="73">
        <f t="shared" si="3"/>
        <v>431.21321999999998</v>
      </c>
      <c r="E14" s="38">
        <v>27</v>
      </c>
      <c r="F14" s="73">
        <f t="shared" si="4"/>
        <v>1591.1020552500001</v>
      </c>
      <c r="G14" s="73">
        <f t="shared" si="1"/>
        <v>510.26642911867503</v>
      </c>
      <c r="I14" s="239" t="s">
        <v>56</v>
      </c>
      <c r="J14" s="241">
        <f>IF(L8&gt;=J4,L8,J4)</f>
        <v>1929</v>
      </c>
      <c r="K14" s="243">
        <v>24.27</v>
      </c>
      <c r="L14" s="249">
        <f>J14*K14%</f>
        <v>468.16829999999999</v>
      </c>
      <c r="M14" s="8"/>
      <c r="N14" s="8"/>
    </row>
    <row r="15" spans="1:16" ht="15" customHeight="1" thickBot="1" x14ac:dyDescent="0.25">
      <c r="A15" s="38">
        <v>26</v>
      </c>
      <c r="B15" s="73">
        <f t="shared" si="2"/>
        <v>1178.5940685826665</v>
      </c>
      <c r="C15" s="74">
        <f t="shared" si="0"/>
        <v>1294.8</v>
      </c>
      <c r="D15" s="73">
        <f t="shared" si="3"/>
        <v>415.24235999999996</v>
      </c>
      <c r="E15" s="38">
        <v>26</v>
      </c>
      <c r="F15" s="73">
        <f t="shared" si="4"/>
        <v>1532.1723495000001</v>
      </c>
      <c r="G15" s="73">
        <f t="shared" si="1"/>
        <v>491.36767248465003</v>
      </c>
      <c r="I15" s="240"/>
      <c r="J15" s="242"/>
      <c r="K15" s="244"/>
      <c r="L15" s="250"/>
      <c r="M15" s="8"/>
      <c r="N15" s="8"/>
    </row>
    <row r="16" spans="1:16" ht="15" customHeight="1" x14ac:dyDescent="0.2">
      <c r="A16" s="38">
        <v>25</v>
      </c>
      <c r="B16" s="73">
        <f t="shared" si="2"/>
        <v>1133.2635274833333</v>
      </c>
      <c r="C16" s="74">
        <f t="shared" si="0"/>
        <v>1245</v>
      </c>
      <c r="D16" s="73">
        <f t="shared" si="3"/>
        <v>399.2715</v>
      </c>
      <c r="E16" s="38">
        <v>25</v>
      </c>
      <c r="F16" s="73">
        <f t="shared" si="4"/>
        <v>1473.2426437500001</v>
      </c>
      <c r="G16" s="73">
        <f t="shared" si="1"/>
        <v>472.46891585062502</v>
      </c>
      <c r="I16" s="247" t="s">
        <v>57</v>
      </c>
      <c r="J16" s="241">
        <f>IF(L8&gt;=L4,L8,L4)</f>
        <v>1500</v>
      </c>
      <c r="K16" s="243">
        <v>7.8</v>
      </c>
      <c r="L16" s="245">
        <f>J16*K16%</f>
        <v>117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1087.9329863840001</v>
      </c>
      <c r="C17" s="74">
        <f t="shared" si="0"/>
        <v>1195.1999999999998</v>
      </c>
      <c r="D17" s="73">
        <f t="shared" si="3"/>
        <v>383.30063999999993</v>
      </c>
      <c r="E17" s="38">
        <v>24</v>
      </c>
      <c r="F17" s="73">
        <f t="shared" si="4"/>
        <v>1414.3129380000003</v>
      </c>
      <c r="G17" s="73">
        <f t="shared" si="1"/>
        <v>453.57015921660008</v>
      </c>
      <c r="I17" s="248"/>
      <c r="J17" s="242"/>
      <c r="K17" s="244">
        <v>0.2</v>
      </c>
      <c r="L17" s="246"/>
      <c r="M17" s="8"/>
      <c r="N17" s="8"/>
    </row>
    <row r="18" spans="1:14" ht="16.5" customHeight="1" thickBot="1" x14ac:dyDescent="0.25">
      <c r="A18" s="38">
        <v>23</v>
      </c>
      <c r="B18" s="73">
        <f t="shared" si="2"/>
        <v>1042.6024452846666</v>
      </c>
      <c r="C18" s="74">
        <f t="shared" si="0"/>
        <v>1145.3999999999999</v>
      </c>
      <c r="D18" s="73">
        <f t="shared" si="3"/>
        <v>367.32977999999991</v>
      </c>
      <c r="E18" s="38">
        <v>23</v>
      </c>
      <c r="F18" s="73">
        <f t="shared" si="4"/>
        <v>1355.3832322500002</v>
      </c>
      <c r="G18" s="73">
        <f t="shared" si="1"/>
        <v>434.67140258257507</v>
      </c>
      <c r="I18" s="227" t="s">
        <v>61</v>
      </c>
      <c r="J18" s="228"/>
      <c r="K18" s="131">
        <f>(K14+K16)</f>
        <v>32.07</v>
      </c>
      <c r="L18" s="127">
        <f>SUM(L14:L17)</f>
        <v>585.16830000000004</v>
      </c>
      <c r="M18" s="8"/>
      <c r="N18" s="8"/>
    </row>
    <row r="19" spans="1:14" ht="15" customHeight="1" x14ac:dyDescent="0.2">
      <c r="A19" s="38">
        <v>22</v>
      </c>
      <c r="B19" s="73">
        <f t="shared" si="2"/>
        <v>997.27190418533326</v>
      </c>
      <c r="C19" s="74">
        <f t="shared" si="0"/>
        <v>1095.5999999999999</v>
      </c>
      <c r="D19" s="73">
        <f t="shared" si="3"/>
        <v>351.35891999999996</v>
      </c>
      <c r="E19" s="38">
        <v>22</v>
      </c>
      <c r="F19" s="73">
        <f t="shared" si="4"/>
        <v>1296.4535265000002</v>
      </c>
      <c r="G19" s="73">
        <f t="shared" si="1"/>
        <v>415.77264594855006</v>
      </c>
      <c r="I19" s="123"/>
      <c r="J19" s="124"/>
      <c r="K19" s="125"/>
      <c r="L19" s="126"/>
      <c r="M19" s="8"/>
      <c r="N19" s="8"/>
    </row>
    <row r="20" spans="1:14" ht="15" customHeight="1" x14ac:dyDescent="0.2">
      <c r="A20" s="38">
        <v>21</v>
      </c>
      <c r="B20" s="73">
        <f t="shared" si="2"/>
        <v>951.94136308600002</v>
      </c>
      <c r="C20" s="74">
        <f t="shared" si="0"/>
        <v>1045.8</v>
      </c>
      <c r="D20" s="73">
        <f t="shared" si="3"/>
        <v>335.38806</v>
      </c>
      <c r="E20" s="38">
        <v>21</v>
      </c>
      <c r="F20" s="73">
        <f t="shared" si="4"/>
        <v>1237.5238207500001</v>
      </c>
      <c r="G20" s="73">
        <f t="shared" si="1"/>
        <v>396.873889314525</v>
      </c>
      <c r="I20" s="269" t="s">
        <v>76</v>
      </c>
      <c r="J20" s="269"/>
      <c r="K20" s="269"/>
      <c r="L20" s="269"/>
      <c r="M20" s="269"/>
      <c r="N20" s="269"/>
    </row>
    <row r="21" spans="1:14" ht="15" customHeight="1" x14ac:dyDescent="0.2">
      <c r="A21" s="38">
        <v>20</v>
      </c>
      <c r="B21" s="73">
        <f t="shared" si="2"/>
        <v>906.61082198666656</v>
      </c>
      <c r="C21" s="74">
        <f t="shared" si="0"/>
        <v>996</v>
      </c>
      <c r="D21" s="73">
        <f t="shared" si="3"/>
        <v>319.41719999999998</v>
      </c>
      <c r="E21" s="38">
        <v>20</v>
      </c>
      <c r="F21" s="73">
        <f t="shared" si="4"/>
        <v>1178.5941150000001</v>
      </c>
      <c r="G21" s="73">
        <f t="shared" si="1"/>
        <v>377.9751326805</v>
      </c>
      <c r="I21" s="269"/>
      <c r="J21" s="269"/>
      <c r="K21" s="269"/>
      <c r="L21" s="269"/>
      <c r="M21" s="269"/>
      <c r="N21" s="269"/>
    </row>
    <row r="22" spans="1:14" ht="15" customHeight="1" thickBot="1" x14ac:dyDescent="0.25">
      <c r="A22" s="38">
        <v>19</v>
      </c>
      <c r="B22" s="73">
        <f t="shared" si="2"/>
        <v>861.28028088733333</v>
      </c>
      <c r="C22" s="74">
        <f t="shared" si="0"/>
        <v>946.19999999999993</v>
      </c>
      <c r="D22" s="73">
        <f t="shared" si="3"/>
        <v>303.44633999999996</v>
      </c>
      <c r="E22" s="38">
        <v>19</v>
      </c>
      <c r="F22" s="73">
        <f t="shared" si="4"/>
        <v>1119.6644092500001</v>
      </c>
      <c r="G22" s="73">
        <f t="shared" si="1"/>
        <v>359.07637604647499</v>
      </c>
      <c r="I22" s="35"/>
      <c r="J22" s="19"/>
      <c r="K22" s="8"/>
      <c r="L22" s="112"/>
      <c r="M22" s="8"/>
      <c r="N22" s="8"/>
    </row>
    <row r="23" spans="1:14" ht="15" customHeight="1" x14ac:dyDescent="0.2">
      <c r="A23" s="38">
        <v>18</v>
      </c>
      <c r="B23" s="73">
        <f t="shared" si="2"/>
        <v>815.94973978799999</v>
      </c>
      <c r="C23" s="74">
        <f t="shared" si="0"/>
        <v>896.40000000000009</v>
      </c>
      <c r="D23" s="73">
        <f t="shared" si="3"/>
        <v>287.47548</v>
      </c>
      <c r="E23" s="38">
        <v>18</v>
      </c>
      <c r="F23" s="73">
        <f t="shared" si="4"/>
        <v>1060.7347035000003</v>
      </c>
      <c r="G23" s="73">
        <f t="shared" si="1"/>
        <v>340.17761941245004</v>
      </c>
      <c r="I23" s="231" t="s">
        <v>62</v>
      </c>
      <c r="J23" s="231"/>
      <c r="K23" s="232"/>
      <c r="L23" s="251"/>
      <c r="M23" s="8"/>
      <c r="N23" s="8"/>
    </row>
    <row r="24" spans="1:14" ht="15" customHeight="1" thickBot="1" x14ac:dyDescent="0.25">
      <c r="A24" s="38">
        <v>17</v>
      </c>
      <c r="B24" s="73">
        <f t="shared" si="2"/>
        <v>770.61919868866664</v>
      </c>
      <c r="C24" s="74">
        <f t="shared" si="0"/>
        <v>846.5999999999998</v>
      </c>
      <c r="D24" s="73">
        <f t="shared" si="3"/>
        <v>271.50461999999993</v>
      </c>
      <c r="E24" s="38">
        <v>17</v>
      </c>
      <c r="F24" s="73">
        <f t="shared" si="4"/>
        <v>1001.8049977500001</v>
      </c>
      <c r="G24" s="73">
        <f t="shared" si="1"/>
        <v>321.27886277842504</v>
      </c>
      <c r="I24" s="231"/>
      <c r="J24" s="231"/>
      <c r="K24" s="232"/>
      <c r="L24" s="252"/>
      <c r="M24" s="8"/>
      <c r="N24" s="8"/>
    </row>
    <row r="25" spans="1:14" ht="15" customHeight="1" thickBot="1" x14ac:dyDescent="0.25">
      <c r="A25" s="38">
        <v>16</v>
      </c>
      <c r="B25" s="73">
        <f t="shared" si="2"/>
        <v>725.2886575893333</v>
      </c>
      <c r="C25" s="74">
        <f t="shared" si="0"/>
        <v>796.8</v>
      </c>
      <c r="D25" s="73">
        <f t="shared" si="3"/>
        <v>255.53375999999997</v>
      </c>
      <c r="E25" s="38">
        <v>16</v>
      </c>
      <c r="F25" s="73">
        <f t="shared" si="4"/>
        <v>942.87529200000006</v>
      </c>
      <c r="G25" s="73">
        <f t="shared" si="1"/>
        <v>302.38010614440003</v>
      </c>
      <c r="I25" s="35"/>
      <c r="J25" s="19"/>
      <c r="K25" s="8"/>
      <c r="L25" s="112"/>
      <c r="M25" s="8"/>
      <c r="N25" s="8"/>
    </row>
    <row r="26" spans="1:14" ht="15" customHeight="1" x14ac:dyDescent="0.2">
      <c r="A26" s="38">
        <v>15</v>
      </c>
      <c r="B26" s="73">
        <f t="shared" si="2"/>
        <v>679.95811648999995</v>
      </c>
      <c r="C26" s="74">
        <f t="shared" si="0"/>
        <v>746.99999999999989</v>
      </c>
      <c r="D26" s="73">
        <f t="shared" si="3"/>
        <v>239.56289999999996</v>
      </c>
      <c r="E26" s="38">
        <v>15</v>
      </c>
      <c r="F26" s="73">
        <f t="shared" si="4"/>
        <v>883.94558625000002</v>
      </c>
      <c r="G26" s="73">
        <f t="shared" si="1"/>
        <v>283.48134951037497</v>
      </c>
      <c r="I26" s="231" t="s">
        <v>67</v>
      </c>
      <c r="J26" s="231"/>
      <c r="K26" s="232"/>
      <c r="L26" s="294"/>
      <c r="M26" s="8"/>
      <c r="N26" s="8"/>
    </row>
    <row r="27" spans="1:14" ht="15" customHeight="1" thickBot="1" x14ac:dyDescent="0.25">
      <c r="A27" s="38">
        <v>14</v>
      </c>
      <c r="B27" s="73">
        <f t="shared" si="2"/>
        <v>634.62757539066661</v>
      </c>
      <c r="C27" s="74">
        <f t="shared" si="0"/>
        <v>697.20000000000016</v>
      </c>
      <c r="D27" s="73">
        <f t="shared" si="3"/>
        <v>223.59204000000005</v>
      </c>
      <c r="E27" s="38">
        <v>14</v>
      </c>
      <c r="F27" s="73">
        <f t="shared" si="4"/>
        <v>825.01588050000009</v>
      </c>
      <c r="G27" s="73">
        <f t="shared" si="1"/>
        <v>264.58259287635002</v>
      </c>
      <c r="I27" s="231"/>
      <c r="J27" s="231"/>
      <c r="K27" s="232"/>
      <c r="L27" s="295"/>
      <c r="M27" s="8"/>
      <c r="N27" s="8"/>
    </row>
    <row r="28" spans="1:14" ht="15" customHeight="1" thickBot="1" x14ac:dyDescent="0.25">
      <c r="A28" s="38">
        <v>13</v>
      </c>
      <c r="B28" s="73">
        <f t="shared" si="2"/>
        <v>589.29703429133326</v>
      </c>
      <c r="C28" s="74">
        <f t="shared" si="0"/>
        <v>647.4</v>
      </c>
      <c r="D28" s="73">
        <f t="shared" si="3"/>
        <v>207.62117999999998</v>
      </c>
      <c r="E28" s="38">
        <v>13</v>
      </c>
      <c r="F28" s="73">
        <f t="shared" si="4"/>
        <v>766.08617475000005</v>
      </c>
      <c r="G28" s="73">
        <f t="shared" si="1"/>
        <v>245.68383624232501</v>
      </c>
      <c r="I28" s="35"/>
      <c r="J28" s="19"/>
      <c r="K28" s="8"/>
      <c r="L28" s="112"/>
      <c r="M28" s="8"/>
      <c r="N28" s="8"/>
    </row>
    <row r="29" spans="1:14" ht="15" customHeight="1" x14ac:dyDescent="0.2">
      <c r="A29" s="38">
        <v>12</v>
      </c>
      <c r="B29" s="73">
        <f t="shared" si="2"/>
        <v>543.96649319200003</v>
      </c>
      <c r="C29" s="74">
        <f t="shared" si="0"/>
        <v>597.59999999999991</v>
      </c>
      <c r="D29" s="73">
        <f t="shared" si="3"/>
        <v>191.65031999999997</v>
      </c>
      <c r="E29" s="38">
        <v>12</v>
      </c>
      <c r="F29" s="73">
        <f t="shared" si="4"/>
        <v>707.15646900000013</v>
      </c>
      <c r="G29" s="73">
        <f t="shared" si="1"/>
        <v>226.78507960830004</v>
      </c>
      <c r="I29" s="233" t="s">
        <v>63</v>
      </c>
      <c r="J29" s="234"/>
      <c r="K29" s="234"/>
      <c r="L29" s="235"/>
      <c r="M29" s="8"/>
      <c r="N29" s="8"/>
    </row>
    <row r="30" spans="1:14" ht="15" customHeight="1" thickBot="1" x14ac:dyDescent="0.25">
      <c r="A30" s="38">
        <v>11</v>
      </c>
      <c r="B30" s="73">
        <f t="shared" si="2"/>
        <v>498.63595209266663</v>
      </c>
      <c r="C30" s="74">
        <f t="shared" si="0"/>
        <v>547.79999999999995</v>
      </c>
      <c r="D30" s="73">
        <f t="shared" si="3"/>
        <v>175.67945999999998</v>
      </c>
      <c r="E30" s="38">
        <v>11</v>
      </c>
      <c r="F30" s="73">
        <f t="shared" si="4"/>
        <v>648.22676325000009</v>
      </c>
      <c r="G30" s="73">
        <f t="shared" si="1"/>
        <v>207.88632297427503</v>
      </c>
      <c r="I30" s="236"/>
      <c r="J30" s="237"/>
      <c r="K30" s="237"/>
      <c r="L30" s="238"/>
      <c r="M30" s="8"/>
      <c r="N30" s="8"/>
    </row>
    <row r="31" spans="1:14" ht="15" customHeight="1" thickBot="1" x14ac:dyDescent="0.25">
      <c r="A31" s="38">
        <v>10</v>
      </c>
      <c r="B31" s="73">
        <f t="shared" si="2"/>
        <v>453.30541099333328</v>
      </c>
      <c r="C31" s="74">
        <f t="shared" si="0"/>
        <v>498</v>
      </c>
      <c r="D31" s="73">
        <f t="shared" si="3"/>
        <v>159.70859999999999</v>
      </c>
      <c r="E31" s="38">
        <v>10</v>
      </c>
      <c r="F31" s="73">
        <f t="shared" si="4"/>
        <v>589.29705750000005</v>
      </c>
      <c r="G31" s="73">
        <f t="shared" si="1"/>
        <v>188.98756634025</v>
      </c>
      <c r="I31" s="134" t="s">
        <v>68</v>
      </c>
      <c r="J31" s="132" t="s">
        <v>53</v>
      </c>
      <c r="K31" s="130" t="s">
        <v>69</v>
      </c>
      <c r="L31" s="116" t="s">
        <v>55</v>
      </c>
      <c r="M31" s="8"/>
      <c r="N31" s="8"/>
    </row>
    <row r="32" spans="1:14" ht="15" customHeight="1" x14ac:dyDescent="0.2">
      <c r="A32" s="38">
        <v>9</v>
      </c>
      <c r="B32" s="73">
        <f t="shared" si="2"/>
        <v>407.97486989399999</v>
      </c>
      <c r="C32" s="74">
        <f t="shared" si="0"/>
        <v>448.20000000000005</v>
      </c>
      <c r="D32" s="73">
        <f t="shared" si="3"/>
        <v>143.73774</v>
      </c>
      <c r="E32" s="38">
        <v>9</v>
      </c>
      <c r="F32" s="73">
        <f t="shared" si="4"/>
        <v>530.36735175000013</v>
      </c>
      <c r="G32" s="73">
        <f t="shared" si="1"/>
        <v>170.08880970622502</v>
      </c>
      <c r="I32" s="258">
        <f>((L23/37.5*7.5*5)/7)*30*$C$43</f>
        <v>0</v>
      </c>
      <c r="J32" s="260">
        <f>IF(L26&lt;I32,I32,L26)</f>
        <v>0</v>
      </c>
      <c r="K32" s="262">
        <v>32.07</v>
      </c>
      <c r="L32" s="245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362.64432879466665</v>
      </c>
      <c r="C33" s="74">
        <f t="shared" si="0"/>
        <v>398.4</v>
      </c>
      <c r="D33" s="73">
        <f t="shared" si="3"/>
        <v>127.76687999999999</v>
      </c>
      <c r="E33" s="38">
        <v>8</v>
      </c>
      <c r="F33" s="73">
        <f t="shared" si="4"/>
        <v>471.43764600000003</v>
      </c>
      <c r="G33" s="73">
        <f t="shared" si="1"/>
        <v>151.19005307220002</v>
      </c>
      <c r="I33" s="259"/>
      <c r="J33" s="261"/>
      <c r="K33" s="263"/>
      <c r="L33" s="264"/>
      <c r="M33" s="8"/>
      <c r="N33" s="8"/>
    </row>
    <row r="34" spans="1:14" ht="15" customHeight="1" thickBot="1" x14ac:dyDescent="0.25">
      <c r="A34" s="38">
        <v>7</v>
      </c>
      <c r="B34" s="73">
        <f t="shared" si="2"/>
        <v>317.3137876953333</v>
      </c>
      <c r="C34" s="74">
        <f t="shared" si="0"/>
        <v>348.60000000000008</v>
      </c>
      <c r="D34" s="73">
        <f t="shared" si="3"/>
        <v>111.79602000000003</v>
      </c>
      <c r="E34" s="38">
        <v>7</v>
      </c>
      <c r="F34" s="73">
        <f t="shared" si="4"/>
        <v>412.50794025000005</v>
      </c>
      <c r="G34" s="73">
        <f t="shared" si="1"/>
        <v>132.29129643817501</v>
      </c>
      <c r="I34" s="253" t="s">
        <v>64</v>
      </c>
      <c r="J34" s="254"/>
      <c r="K34" s="255"/>
      <c r="L34" s="127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271.98324659600001</v>
      </c>
      <c r="C35" s="74">
        <f t="shared" si="0"/>
        <v>298.79999999999995</v>
      </c>
      <c r="D35" s="73">
        <f t="shared" si="3"/>
        <v>95.825159999999983</v>
      </c>
      <c r="E35" s="38">
        <v>6</v>
      </c>
      <c r="F35" s="73">
        <f t="shared" si="4"/>
        <v>353.57823450000006</v>
      </c>
      <c r="G35" s="73">
        <f t="shared" si="1"/>
        <v>113.39253980415002</v>
      </c>
      <c r="I35" s="35"/>
      <c r="J35" s="19"/>
      <c r="K35" s="8"/>
      <c r="L35" s="112"/>
      <c r="M35" s="8"/>
      <c r="N35" s="133"/>
    </row>
    <row r="36" spans="1:14" ht="15" customHeight="1" x14ac:dyDescent="0.2">
      <c r="A36" s="38">
        <v>5</v>
      </c>
      <c r="B36" s="73">
        <f t="shared" si="2"/>
        <v>226.65270549666664</v>
      </c>
      <c r="C36" s="74">
        <f t="shared" si="0"/>
        <v>249</v>
      </c>
      <c r="D36" s="73">
        <f t="shared" si="3"/>
        <v>79.854299999999995</v>
      </c>
      <c r="E36" s="38">
        <v>5</v>
      </c>
      <c r="F36" s="73">
        <f t="shared" si="4"/>
        <v>294.64852875000003</v>
      </c>
      <c r="G36" s="73">
        <f t="shared" si="1"/>
        <v>94.493783170124999</v>
      </c>
      <c r="I36" s="256" t="s">
        <v>66</v>
      </c>
      <c r="J36" s="256"/>
      <c r="K36" s="256"/>
      <c r="L36" s="256"/>
      <c r="M36" s="257" t="s">
        <v>98</v>
      </c>
      <c r="N36" s="133"/>
    </row>
    <row r="37" spans="1:14" ht="15" customHeight="1" x14ac:dyDescent="0.2">
      <c r="A37" s="38">
        <v>4</v>
      </c>
      <c r="B37" s="73">
        <f t="shared" si="2"/>
        <v>181.32216439733332</v>
      </c>
      <c r="C37" s="74">
        <f t="shared" si="0"/>
        <v>199.2</v>
      </c>
      <c r="D37" s="73">
        <f t="shared" si="3"/>
        <v>63.883439999999993</v>
      </c>
      <c r="E37" s="38">
        <v>4</v>
      </c>
      <c r="F37" s="73">
        <f t="shared" si="4"/>
        <v>235.71882300000001</v>
      </c>
      <c r="G37" s="73">
        <f t="shared" si="1"/>
        <v>75.595026536100008</v>
      </c>
      <c r="I37" s="256"/>
      <c r="J37" s="256"/>
      <c r="K37" s="256"/>
      <c r="L37" s="256"/>
      <c r="M37" s="257"/>
      <c r="N37" s="133"/>
    </row>
    <row r="38" spans="1:14" ht="15" customHeight="1" x14ac:dyDescent="0.2">
      <c r="A38" s="38">
        <v>3</v>
      </c>
      <c r="B38" s="73">
        <f t="shared" si="2"/>
        <v>135.99162329800001</v>
      </c>
      <c r="C38" s="74">
        <f t="shared" si="0"/>
        <v>149.39999999999998</v>
      </c>
      <c r="D38" s="73">
        <f t="shared" si="3"/>
        <v>47.912579999999991</v>
      </c>
      <c r="E38" s="38">
        <v>3</v>
      </c>
      <c r="F38" s="73">
        <f t="shared" si="4"/>
        <v>176.78911725000003</v>
      </c>
      <c r="G38" s="73">
        <f t="shared" si="1"/>
        <v>56.696269902075009</v>
      </c>
      <c r="I38" s="5"/>
    </row>
    <row r="39" spans="1:14" ht="15" customHeight="1" x14ac:dyDescent="0.2">
      <c r="A39" s="38">
        <v>2</v>
      </c>
      <c r="B39" s="73">
        <f t="shared" si="2"/>
        <v>90.661082198666662</v>
      </c>
      <c r="C39" s="74">
        <f t="shared" si="0"/>
        <v>99.6</v>
      </c>
      <c r="D39" s="73">
        <f t="shared" si="3"/>
        <v>31.941719999999997</v>
      </c>
      <c r="E39" s="38">
        <v>2</v>
      </c>
      <c r="F39" s="73">
        <f t="shared" si="4"/>
        <v>117.85941150000001</v>
      </c>
      <c r="G39" s="73">
        <f t="shared" si="1"/>
        <v>37.797513268050004</v>
      </c>
      <c r="I39" s="5"/>
    </row>
    <row r="40" spans="1:14" ht="15" customHeight="1" x14ac:dyDescent="0.2">
      <c r="A40" s="39">
        <v>1</v>
      </c>
      <c r="B40" s="75">
        <f t="shared" si="2"/>
        <v>45.330541099333331</v>
      </c>
      <c r="C40" s="76">
        <f t="shared" si="0"/>
        <v>49.8</v>
      </c>
      <c r="D40" s="75">
        <f t="shared" si="3"/>
        <v>15.970859999999998</v>
      </c>
      <c r="E40" s="39">
        <v>1</v>
      </c>
      <c r="F40" s="75">
        <f t="shared" si="4"/>
        <v>58.929705750000004</v>
      </c>
      <c r="G40" s="75">
        <f t="shared" si="1"/>
        <v>18.898756634025002</v>
      </c>
      <c r="I40" s="5"/>
    </row>
    <row r="41" spans="1:14" hidden="1" x14ac:dyDescent="0.2"/>
    <row r="42" spans="1:14" ht="15" hidden="1" thickBot="1" x14ac:dyDescent="0.25">
      <c r="C42" s="208" t="s">
        <v>94</v>
      </c>
    </row>
    <row r="43" spans="1:14" s="21" customFormat="1" ht="31.5" hidden="1" customHeight="1" thickBot="1" x14ac:dyDescent="0.25">
      <c r="A43" s="187"/>
      <c r="B43" s="203" t="s">
        <v>13</v>
      </c>
      <c r="C43" s="204">
        <v>11.62</v>
      </c>
      <c r="D43" s="188"/>
      <c r="E43" s="189"/>
      <c r="F43" s="188"/>
      <c r="G43" s="188"/>
      <c r="I43" s="190"/>
    </row>
    <row r="44" spans="1:14" hidden="1" x14ac:dyDescent="0.2"/>
  </sheetData>
  <sheetProtection algorithmName="SHA-512" hashValue="626I5ivhC++vNDoIdw3dke4ems1MsN7YD0Ik5z1SuNRbm93xwJ556Cdf26yfd8qdxwOwy7+9Qcw2ZuKPzkY7/g==" saltValue="uNAYKFry2drZlh2SO/4H/g==" spinCount="100000" sheet="1" objects="1" scenarios="1"/>
  <protectedRanges>
    <protectedRange sqref="M36" name="CALCULO RC"/>
    <protectedRange sqref="L23" name="DED_1"/>
    <protectedRange sqref="L8" name="RET TC_2"/>
    <protectedRange sqref="L26" name="RET TP_1"/>
  </protectedRanges>
  <mergeCells count="35">
    <mergeCell ref="A1:G1"/>
    <mergeCell ref="B2:D2"/>
    <mergeCell ref="F2:G2"/>
    <mergeCell ref="I2:K2"/>
    <mergeCell ref="L2:M2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I20:N21"/>
    <mergeCell ref="I23:K24"/>
    <mergeCell ref="L23:L24"/>
    <mergeCell ref="I26:K27"/>
    <mergeCell ref="L26:L27"/>
    <mergeCell ref="I34:K34"/>
    <mergeCell ref="I36:L37"/>
    <mergeCell ref="M36:M37"/>
    <mergeCell ref="I29:L30"/>
    <mergeCell ref="I32:I33"/>
    <mergeCell ref="J32:J33"/>
    <mergeCell ref="K32:K33"/>
    <mergeCell ref="L32:L33"/>
  </mergeCells>
  <hyperlinks>
    <hyperlink ref="M36:M37" r:id="rId1" display="CALCULO RC E INDEMNIZACION" xr:uid="{00000000-0004-0000-03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4"/>
  <sheetViews>
    <sheetView topLeftCell="D1" zoomScaleNormal="100" workbookViewId="0">
      <selection activeCell="N22" sqref="N22"/>
    </sheetView>
  </sheetViews>
  <sheetFormatPr baseColWidth="10" defaultColWidth="11.5703125" defaultRowHeight="14.25" x14ac:dyDescent="0.2"/>
  <cols>
    <col min="1" max="1" width="18.42578125" style="4" customWidth="1"/>
    <col min="2" max="2" width="44.42578125" style="4" customWidth="1"/>
    <col min="3" max="3" width="8.28515625" style="6" hidden="1" customWidth="1"/>
    <col min="4" max="4" width="18.42578125" style="4" customWidth="1"/>
    <col min="5" max="5" width="18.42578125" style="5" customWidth="1"/>
    <col min="6" max="6" width="24.7109375" style="4" customWidth="1"/>
    <col min="7" max="7" width="18.42578125" style="4" customWidth="1"/>
    <col min="8" max="8" width="11.5703125" style="5"/>
    <col min="9" max="9" width="17.7109375" style="7" customWidth="1"/>
    <col min="10" max="10" width="18.7109375" style="5" customWidth="1"/>
    <col min="11" max="11" width="19.42578125" style="5" customWidth="1"/>
    <col min="12" max="12" width="16" style="5" customWidth="1"/>
    <col min="13" max="13" width="16.85546875" style="5" customWidth="1"/>
    <col min="14" max="14" width="13.28515625" style="5" bestFit="1" customWidth="1"/>
    <col min="15" max="16384" width="11.5703125" style="5"/>
  </cols>
  <sheetData>
    <row r="1" spans="1:14" s="8" customFormat="1" ht="65.25" customHeight="1" x14ac:dyDescent="0.2">
      <c r="A1" s="217" t="s">
        <v>110</v>
      </c>
      <c r="B1" s="218"/>
      <c r="C1" s="218"/>
      <c r="D1" s="218"/>
      <c r="E1" s="218"/>
      <c r="F1" s="218"/>
      <c r="G1" s="218"/>
      <c r="K1" s="19"/>
    </row>
    <row r="2" spans="1:14" s="36" customFormat="1" ht="24.75" customHeight="1" x14ac:dyDescent="0.2">
      <c r="A2" s="44"/>
      <c r="B2" s="296" t="s">
        <v>45</v>
      </c>
      <c r="C2" s="296"/>
      <c r="D2" s="297"/>
      <c r="E2" s="42"/>
      <c r="F2" s="296" t="s">
        <v>46</v>
      </c>
      <c r="G2" s="297"/>
      <c r="I2" s="219" t="s">
        <v>48</v>
      </c>
      <c r="J2" s="219"/>
      <c r="K2" s="219"/>
      <c r="L2" s="219" t="s">
        <v>52</v>
      </c>
      <c r="M2" s="219"/>
    </row>
    <row r="3" spans="1:14" s="27" customFormat="1" ht="38.25" x14ac:dyDescent="0.2">
      <c r="A3" s="43" t="s">
        <v>43</v>
      </c>
      <c r="B3" s="65" t="s">
        <v>44</v>
      </c>
      <c r="C3" s="214" t="s">
        <v>14</v>
      </c>
      <c r="D3" s="67" t="s">
        <v>106</v>
      </c>
      <c r="E3" s="40" t="s">
        <v>43</v>
      </c>
      <c r="F3" s="65" t="s">
        <v>44</v>
      </c>
      <c r="G3" s="67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4" ht="15" customHeight="1" x14ac:dyDescent="0.2">
      <c r="A4" s="37">
        <v>37.5</v>
      </c>
      <c r="B4" s="71">
        <f>PARAMETROS!B6</f>
        <v>1599.9010410000001</v>
      </c>
      <c r="C4" s="72"/>
      <c r="D4" s="71"/>
      <c r="E4" s="37">
        <v>37.5</v>
      </c>
      <c r="F4" s="71">
        <f>PARAMETROS!C6</f>
        <v>2079.8713533</v>
      </c>
      <c r="G4" s="71">
        <f>IF(F4&gt;$K$4,$K$4*$K$18%,F4*$K$18%)</f>
        <v>667.01474300330995</v>
      </c>
      <c r="I4" s="220">
        <v>1</v>
      </c>
      <c r="J4" s="221">
        <v>1929</v>
      </c>
      <c r="K4" s="221">
        <v>4909.5</v>
      </c>
      <c r="L4" s="225">
        <v>1381.2</v>
      </c>
      <c r="M4" s="225">
        <v>4909.5</v>
      </c>
      <c r="N4" s="8"/>
    </row>
    <row r="5" spans="1:14" ht="15" customHeight="1" x14ac:dyDescent="0.2">
      <c r="A5" s="38">
        <v>36</v>
      </c>
      <c r="B5" s="73">
        <f>PRODUCT(B$4,A5)/A$4</f>
        <v>1535.9049993600001</v>
      </c>
      <c r="C5" s="74">
        <f t="shared" ref="C5:C40" si="0">(A5/$A$4*7.5*5)/7*30*$C$43</f>
        <v>1792.8000000000002</v>
      </c>
      <c r="D5" s="73">
        <f>IF(B5&lt;C5,C5*$K$18%,B5*$K$18%)</f>
        <v>574.95096000000001</v>
      </c>
      <c r="E5" s="38">
        <v>36</v>
      </c>
      <c r="F5" s="73">
        <f>PRODUCT(F$4,E5)/E$4</f>
        <v>1996.6764991680002</v>
      </c>
      <c r="G5" s="73">
        <f t="shared" ref="G5:G40" si="1">IF(F5&gt;$K$4,$K$4*$K$18%,F5*$K$18%)</f>
        <v>640.33415328317767</v>
      </c>
      <c r="I5" s="220"/>
      <c r="J5" s="222"/>
      <c r="K5" s="222"/>
      <c r="L5" s="226"/>
      <c r="M5" s="226"/>
      <c r="N5" s="8"/>
    </row>
    <row r="6" spans="1:14" ht="15" customHeight="1" x14ac:dyDescent="0.2">
      <c r="A6" s="38">
        <v>35</v>
      </c>
      <c r="B6" s="73">
        <f t="shared" ref="B6:B40" si="2">PRODUCT(B$4,A6)/A$4</f>
        <v>1493.2409716</v>
      </c>
      <c r="C6" s="74">
        <f t="shared" si="0"/>
        <v>1742.9999999999998</v>
      </c>
      <c r="D6" s="73">
        <f t="shared" ref="D6:D40" si="3">IF(B6&lt;C6,C6*$K$18%,B6*$K$18%)</f>
        <v>558.98009999999988</v>
      </c>
      <c r="E6" s="38">
        <v>35</v>
      </c>
      <c r="F6" s="73">
        <f t="shared" ref="F6:F40" si="4">PRODUCT(F$4,E6)/E$4</f>
        <v>1941.2132630800002</v>
      </c>
      <c r="G6" s="73">
        <f t="shared" si="1"/>
        <v>622.54709346975608</v>
      </c>
      <c r="I6" s="35"/>
      <c r="J6" s="8"/>
      <c r="K6" s="8"/>
      <c r="L6" s="112"/>
      <c r="M6" s="8"/>
      <c r="N6" s="8"/>
    </row>
    <row r="7" spans="1:14" ht="15" customHeight="1" thickBot="1" x14ac:dyDescent="0.25">
      <c r="A7" s="38">
        <v>34</v>
      </c>
      <c r="B7" s="73">
        <f t="shared" si="2"/>
        <v>1450.57694384</v>
      </c>
      <c r="C7" s="74">
        <f t="shared" si="0"/>
        <v>1693.1999999999996</v>
      </c>
      <c r="D7" s="73">
        <f t="shared" si="3"/>
        <v>543.00923999999986</v>
      </c>
      <c r="E7" s="38">
        <v>34</v>
      </c>
      <c r="F7" s="73">
        <f t="shared" si="4"/>
        <v>1885.7500269919999</v>
      </c>
      <c r="G7" s="73">
        <f t="shared" si="1"/>
        <v>604.76003365633437</v>
      </c>
      <c r="I7" s="35"/>
      <c r="J7" s="19"/>
      <c r="K7" s="8"/>
      <c r="L7" s="112"/>
      <c r="M7" s="8"/>
      <c r="N7" s="8"/>
    </row>
    <row r="8" spans="1:14" ht="15" customHeight="1" x14ac:dyDescent="0.2">
      <c r="A8" s="38">
        <v>33</v>
      </c>
      <c r="B8" s="73">
        <f t="shared" si="2"/>
        <v>1407.9129160800001</v>
      </c>
      <c r="C8" s="74">
        <f t="shared" si="0"/>
        <v>1643.4</v>
      </c>
      <c r="D8" s="73">
        <f t="shared" si="3"/>
        <v>527.03837999999996</v>
      </c>
      <c r="E8" s="38">
        <v>33</v>
      </c>
      <c r="F8" s="73">
        <f t="shared" si="4"/>
        <v>1830.2867909039999</v>
      </c>
      <c r="G8" s="73">
        <f t="shared" si="1"/>
        <v>586.97297384291278</v>
      </c>
      <c r="I8" s="231" t="s">
        <v>88</v>
      </c>
      <c r="J8" s="231"/>
      <c r="K8" s="232"/>
      <c r="L8" s="229">
        <v>1900</v>
      </c>
      <c r="M8" s="8"/>
      <c r="N8" s="149"/>
    </row>
    <row r="9" spans="1:14" ht="15" customHeight="1" thickBot="1" x14ac:dyDescent="0.25">
      <c r="A9" s="38">
        <v>32</v>
      </c>
      <c r="B9" s="73">
        <f t="shared" si="2"/>
        <v>1365.2488883200001</v>
      </c>
      <c r="C9" s="74">
        <f t="shared" si="0"/>
        <v>1593.6</v>
      </c>
      <c r="D9" s="73">
        <f t="shared" si="3"/>
        <v>511.06751999999994</v>
      </c>
      <c r="E9" s="38">
        <v>32</v>
      </c>
      <c r="F9" s="73">
        <f t="shared" si="4"/>
        <v>1774.8235548160001</v>
      </c>
      <c r="G9" s="73">
        <f t="shared" si="1"/>
        <v>569.18591402949119</v>
      </c>
      <c r="I9" s="231"/>
      <c r="J9" s="231"/>
      <c r="K9" s="232"/>
      <c r="L9" s="230"/>
      <c r="M9" s="8"/>
      <c r="N9" s="8"/>
    </row>
    <row r="10" spans="1:14" ht="15" customHeight="1" thickBot="1" x14ac:dyDescent="0.25">
      <c r="A10" s="38">
        <v>31</v>
      </c>
      <c r="B10" s="73">
        <f t="shared" si="2"/>
        <v>1322.5848605600002</v>
      </c>
      <c r="C10" s="74">
        <f t="shared" si="0"/>
        <v>1543.8</v>
      </c>
      <c r="D10" s="73">
        <f t="shared" si="3"/>
        <v>495.09665999999999</v>
      </c>
      <c r="E10" s="38">
        <v>31</v>
      </c>
      <c r="F10" s="73">
        <f t="shared" si="4"/>
        <v>1719.360318728</v>
      </c>
      <c r="G10" s="73">
        <f t="shared" si="1"/>
        <v>551.39885421606959</v>
      </c>
      <c r="I10" s="117"/>
      <c r="J10" s="118"/>
      <c r="K10" s="119"/>
      <c r="L10" s="120"/>
      <c r="M10" s="8"/>
      <c r="N10" s="8"/>
    </row>
    <row r="11" spans="1:14" ht="15" customHeight="1" x14ac:dyDescent="0.2">
      <c r="A11" s="38">
        <v>30</v>
      </c>
      <c r="B11" s="73">
        <f t="shared" si="2"/>
        <v>1279.9208328</v>
      </c>
      <c r="C11" s="74">
        <f t="shared" si="0"/>
        <v>1493.9999999999998</v>
      </c>
      <c r="D11" s="73">
        <f t="shared" si="3"/>
        <v>479.12579999999991</v>
      </c>
      <c r="E11" s="38">
        <v>30</v>
      </c>
      <c r="F11" s="73">
        <f t="shared" si="4"/>
        <v>1663.89708264</v>
      </c>
      <c r="G11" s="73">
        <f t="shared" si="1"/>
        <v>533.611794402648</v>
      </c>
      <c r="I11" s="233" t="s">
        <v>60</v>
      </c>
      <c r="J11" s="234"/>
      <c r="K11" s="234"/>
      <c r="L11" s="235"/>
      <c r="M11" s="8"/>
      <c r="N11" s="8"/>
    </row>
    <row r="12" spans="1:14" ht="15" customHeight="1" thickBot="1" x14ac:dyDescent="0.25">
      <c r="A12" s="38">
        <v>29</v>
      </c>
      <c r="B12" s="73">
        <f t="shared" si="2"/>
        <v>1237.25680504</v>
      </c>
      <c r="C12" s="74">
        <f t="shared" si="0"/>
        <v>1444.2</v>
      </c>
      <c r="D12" s="73">
        <f t="shared" si="3"/>
        <v>463.15494000000001</v>
      </c>
      <c r="E12" s="38">
        <v>29</v>
      </c>
      <c r="F12" s="73">
        <f t="shared" si="4"/>
        <v>1608.433846552</v>
      </c>
      <c r="G12" s="73">
        <f t="shared" si="1"/>
        <v>515.82473458922641</v>
      </c>
      <c r="I12" s="236"/>
      <c r="J12" s="237"/>
      <c r="K12" s="237"/>
      <c r="L12" s="238"/>
      <c r="M12" s="8"/>
      <c r="N12" s="8"/>
    </row>
    <row r="13" spans="1:14" ht="15" customHeight="1" thickBot="1" x14ac:dyDescent="0.25">
      <c r="A13" s="38">
        <v>28</v>
      </c>
      <c r="B13" s="73">
        <f t="shared" si="2"/>
        <v>1194.5927772800001</v>
      </c>
      <c r="C13" s="74">
        <f t="shared" si="0"/>
        <v>1394.4000000000003</v>
      </c>
      <c r="D13" s="73">
        <f t="shared" si="3"/>
        <v>447.18408000000011</v>
      </c>
      <c r="E13" s="38">
        <v>28</v>
      </c>
      <c r="F13" s="73">
        <f t="shared" si="4"/>
        <v>1552.9706104639999</v>
      </c>
      <c r="G13" s="73">
        <f t="shared" si="1"/>
        <v>498.03767477580476</v>
      </c>
      <c r="I13" s="114"/>
      <c r="J13" s="115" t="s">
        <v>53</v>
      </c>
      <c r="K13" s="130" t="s">
        <v>54</v>
      </c>
      <c r="L13" s="116" t="s">
        <v>55</v>
      </c>
      <c r="M13" s="8"/>
      <c r="N13" s="8"/>
    </row>
    <row r="14" spans="1:14" ht="15" customHeight="1" x14ac:dyDescent="0.2">
      <c r="A14" s="38">
        <v>27</v>
      </c>
      <c r="B14" s="73">
        <f t="shared" si="2"/>
        <v>1151.9287495200001</v>
      </c>
      <c r="C14" s="74">
        <f t="shared" si="0"/>
        <v>1344.6</v>
      </c>
      <c r="D14" s="73">
        <f t="shared" si="3"/>
        <v>431.21321999999998</v>
      </c>
      <c r="E14" s="38">
        <v>27</v>
      </c>
      <c r="F14" s="73">
        <f t="shared" si="4"/>
        <v>1497.5073743759999</v>
      </c>
      <c r="G14" s="73">
        <f t="shared" si="1"/>
        <v>480.25061496238317</v>
      </c>
      <c r="I14" s="239" t="s">
        <v>56</v>
      </c>
      <c r="J14" s="241">
        <f>IF(L8&gt;=J4,L8,J4)</f>
        <v>1929</v>
      </c>
      <c r="K14" s="243">
        <v>24.27</v>
      </c>
      <c r="L14" s="249">
        <f>J14*K14%</f>
        <v>468.16829999999999</v>
      </c>
      <c r="M14" s="8"/>
      <c r="N14" s="8"/>
    </row>
    <row r="15" spans="1:14" ht="15" customHeight="1" thickBot="1" x14ac:dyDescent="0.25">
      <c r="A15" s="38">
        <v>26</v>
      </c>
      <c r="B15" s="73">
        <f t="shared" si="2"/>
        <v>1109.2647217600002</v>
      </c>
      <c r="C15" s="74">
        <f t="shared" si="0"/>
        <v>1294.8</v>
      </c>
      <c r="D15" s="73">
        <f t="shared" si="3"/>
        <v>415.24235999999996</v>
      </c>
      <c r="E15" s="38">
        <v>26</v>
      </c>
      <c r="F15" s="73">
        <f t="shared" si="4"/>
        <v>1442.0441382880001</v>
      </c>
      <c r="G15" s="73">
        <f t="shared" si="1"/>
        <v>462.46355514896163</v>
      </c>
      <c r="I15" s="240"/>
      <c r="J15" s="242"/>
      <c r="K15" s="244"/>
      <c r="L15" s="250"/>
      <c r="M15" s="8"/>
      <c r="N15" s="8"/>
    </row>
    <row r="16" spans="1:14" ht="15" customHeight="1" x14ac:dyDescent="0.2">
      <c r="A16" s="38">
        <v>25</v>
      </c>
      <c r="B16" s="73">
        <f t="shared" si="2"/>
        <v>1066.600694</v>
      </c>
      <c r="C16" s="74">
        <f t="shared" si="0"/>
        <v>1245</v>
      </c>
      <c r="D16" s="73">
        <f t="shared" si="3"/>
        <v>399.2715</v>
      </c>
      <c r="E16" s="38">
        <v>25</v>
      </c>
      <c r="F16" s="73">
        <f t="shared" si="4"/>
        <v>1386.5809021999999</v>
      </c>
      <c r="G16" s="73">
        <f t="shared" si="1"/>
        <v>444.67649533553993</v>
      </c>
      <c r="I16" s="247" t="s">
        <v>57</v>
      </c>
      <c r="J16" s="241">
        <f>IF(L8&gt;=L4,L8,L4)</f>
        <v>1900</v>
      </c>
      <c r="K16" s="243">
        <v>7.8</v>
      </c>
      <c r="L16" s="245">
        <f>J16*K16%</f>
        <v>148.19999999999999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1023.93666624</v>
      </c>
      <c r="C17" s="74">
        <f t="shared" si="0"/>
        <v>1195.1999999999998</v>
      </c>
      <c r="D17" s="73">
        <f t="shared" si="3"/>
        <v>383.30063999999993</v>
      </c>
      <c r="E17" s="38">
        <v>24</v>
      </c>
      <c r="F17" s="73">
        <f t="shared" si="4"/>
        <v>1331.1176661120001</v>
      </c>
      <c r="G17" s="73">
        <f t="shared" si="1"/>
        <v>426.88943552211839</v>
      </c>
      <c r="I17" s="248"/>
      <c r="J17" s="242"/>
      <c r="K17" s="244">
        <v>0.2</v>
      </c>
      <c r="L17" s="246"/>
      <c r="M17" s="8"/>
      <c r="N17" s="8"/>
    </row>
    <row r="18" spans="1:14" ht="15" customHeight="1" thickBot="1" x14ac:dyDescent="0.25">
      <c r="A18" s="38">
        <v>23</v>
      </c>
      <c r="B18" s="73">
        <f t="shared" si="2"/>
        <v>981.27263848000007</v>
      </c>
      <c r="C18" s="74">
        <f t="shared" si="0"/>
        <v>1145.3999999999999</v>
      </c>
      <c r="D18" s="73">
        <f t="shared" si="3"/>
        <v>367.32977999999991</v>
      </c>
      <c r="E18" s="38">
        <v>23</v>
      </c>
      <c r="F18" s="73">
        <f t="shared" si="4"/>
        <v>1275.654430024</v>
      </c>
      <c r="G18" s="73">
        <f t="shared" si="1"/>
        <v>409.1023757086968</v>
      </c>
      <c r="I18" s="227" t="s">
        <v>61</v>
      </c>
      <c r="J18" s="228"/>
      <c r="K18" s="131">
        <f>(K14+K16)</f>
        <v>32.07</v>
      </c>
      <c r="L18" s="127">
        <f>SUM(L14:L17)</f>
        <v>616.36829999999998</v>
      </c>
      <c r="M18" s="8"/>
      <c r="N18" s="8"/>
    </row>
    <row r="19" spans="1:14" ht="15" customHeight="1" x14ac:dyDescent="0.2">
      <c r="A19" s="38">
        <v>22</v>
      </c>
      <c r="B19" s="73">
        <f t="shared" si="2"/>
        <v>938.60861072</v>
      </c>
      <c r="C19" s="74">
        <f t="shared" si="0"/>
        <v>1095.5999999999999</v>
      </c>
      <c r="D19" s="73">
        <f t="shared" si="3"/>
        <v>351.35891999999996</v>
      </c>
      <c r="E19" s="38">
        <v>22</v>
      </c>
      <c r="F19" s="73">
        <f t="shared" si="4"/>
        <v>1220.191193936</v>
      </c>
      <c r="G19" s="73">
        <f t="shared" si="1"/>
        <v>391.31531589527521</v>
      </c>
      <c r="I19" s="123"/>
      <c r="J19" s="124"/>
      <c r="K19" s="125"/>
      <c r="L19" s="126"/>
      <c r="M19" s="8"/>
      <c r="N19" s="8"/>
    </row>
    <row r="20" spans="1:14" ht="15" customHeight="1" x14ac:dyDescent="0.2">
      <c r="A20" s="38">
        <v>21</v>
      </c>
      <c r="B20" s="73">
        <f t="shared" si="2"/>
        <v>895.94458296000005</v>
      </c>
      <c r="C20" s="74">
        <f t="shared" si="0"/>
        <v>1045.8</v>
      </c>
      <c r="D20" s="73">
        <f t="shared" si="3"/>
        <v>335.38806</v>
      </c>
      <c r="E20" s="38">
        <v>21</v>
      </c>
      <c r="F20" s="73">
        <f t="shared" si="4"/>
        <v>1164.727957848</v>
      </c>
      <c r="G20" s="73">
        <f t="shared" si="1"/>
        <v>373.52825608185356</v>
      </c>
      <c r="I20" s="269" t="s">
        <v>77</v>
      </c>
      <c r="J20" s="269"/>
      <c r="K20" s="269"/>
      <c r="L20" s="269"/>
      <c r="M20" s="269"/>
      <c r="N20" s="269"/>
    </row>
    <row r="21" spans="1:14" ht="15" customHeight="1" x14ac:dyDescent="0.2">
      <c r="A21" s="38">
        <v>20</v>
      </c>
      <c r="B21" s="73">
        <f t="shared" si="2"/>
        <v>853.28055520000009</v>
      </c>
      <c r="C21" s="74">
        <f t="shared" si="0"/>
        <v>996</v>
      </c>
      <c r="D21" s="73">
        <f t="shared" si="3"/>
        <v>319.41719999999998</v>
      </c>
      <c r="E21" s="38">
        <v>20</v>
      </c>
      <c r="F21" s="73">
        <f t="shared" si="4"/>
        <v>1109.2647217600002</v>
      </c>
      <c r="G21" s="73">
        <f t="shared" si="1"/>
        <v>355.74119626843202</v>
      </c>
      <c r="I21" s="269"/>
      <c r="J21" s="269"/>
      <c r="K21" s="269"/>
      <c r="L21" s="269"/>
      <c r="M21" s="269"/>
      <c r="N21" s="269"/>
    </row>
    <row r="22" spans="1:14" ht="15" customHeight="1" thickBot="1" x14ac:dyDescent="0.25">
      <c r="A22" s="38">
        <v>19</v>
      </c>
      <c r="B22" s="73">
        <f t="shared" si="2"/>
        <v>810.61652744000003</v>
      </c>
      <c r="C22" s="74">
        <f t="shared" si="0"/>
        <v>946.19999999999993</v>
      </c>
      <c r="D22" s="73">
        <f t="shared" si="3"/>
        <v>303.44633999999996</v>
      </c>
      <c r="E22" s="38">
        <v>19</v>
      </c>
      <c r="F22" s="73">
        <f t="shared" si="4"/>
        <v>1053.8014856719999</v>
      </c>
      <c r="G22" s="73">
        <f t="shared" si="1"/>
        <v>337.95413645501037</v>
      </c>
      <c r="I22" s="35"/>
      <c r="J22" s="19"/>
      <c r="K22" s="8"/>
      <c r="L22" s="112"/>
      <c r="M22" s="8"/>
      <c r="N22" s="8"/>
    </row>
    <row r="23" spans="1:14" ht="15" customHeight="1" x14ac:dyDescent="0.2">
      <c r="A23" s="38">
        <v>18</v>
      </c>
      <c r="B23" s="73">
        <f t="shared" si="2"/>
        <v>767.95249968000007</v>
      </c>
      <c r="C23" s="74">
        <f t="shared" si="0"/>
        <v>896.40000000000009</v>
      </c>
      <c r="D23" s="73">
        <f t="shared" si="3"/>
        <v>287.47548</v>
      </c>
      <c r="E23" s="38">
        <v>18</v>
      </c>
      <c r="F23" s="73">
        <f t="shared" si="4"/>
        <v>998.3382495840001</v>
      </c>
      <c r="G23" s="73">
        <f t="shared" si="1"/>
        <v>320.16707664158884</v>
      </c>
      <c r="I23" s="231" t="s">
        <v>62</v>
      </c>
      <c r="J23" s="231"/>
      <c r="K23" s="232"/>
      <c r="L23" s="251"/>
      <c r="M23" s="8"/>
      <c r="N23" s="8"/>
    </row>
    <row r="24" spans="1:14" ht="15" customHeight="1" thickBot="1" x14ac:dyDescent="0.25">
      <c r="A24" s="38">
        <v>17</v>
      </c>
      <c r="B24" s="73">
        <f t="shared" si="2"/>
        <v>725.28847192000001</v>
      </c>
      <c r="C24" s="74">
        <f t="shared" si="0"/>
        <v>846.5999999999998</v>
      </c>
      <c r="D24" s="73">
        <f t="shared" si="3"/>
        <v>271.50461999999993</v>
      </c>
      <c r="E24" s="38">
        <v>17</v>
      </c>
      <c r="F24" s="73">
        <f t="shared" si="4"/>
        <v>942.87501349599995</v>
      </c>
      <c r="G24" s="73">
        <f t="shared" si="1"/>
        <v>302.38001682816719</v>
      </c>
      <c r="I24" s="231"/>
      <c r="J24" s="231"/>
      <c r="K24" s="232"/>
      <c r="L24" s="252"/>
      <c r="M24" s="8"/>
      <c r="N24" s="8"/>
    </row>
    <row r="25" spans="1:14" ht="15" customHeight="1" thickBot="1" x14ac:dyDescent="0.25">
      <c r="A25" s="38">
        <v>16</v>
      </c>
      <c r="B25" s="73">
        <f t="shared" si="2"/>
        <v>682.62444416000005</v>
      </c>
      <c r="C25" s="74">
        <f t="shared" si="0"/>
        <v>796.8</v>
      </c>
      <c r="D25" s="73">
        <f t="shared" si="3"/>
        <v>255.53375999999997</v>
      </c>
      <c r="E25" s="38">
        <v>16</v>
      </c>
      <c r="F25" s="73">
        <f t="shared" si="4"/>
        <v>887.41177740800003</v>
      </c>
      <c r="G25" s="73">
        <f t="shared" si="1"/>
        <v>284.59295701474559</v>
      </c>
      <c r="I25" s="35"/>
      <c r="J25" s="19"/>
      <c r="K25" s="8"/>
      <c r="L25" s="112"/>
      <c r="M25" s="8"/>
      <c r="N25" s="8"/>
    </row>
    <row r="26" spans="1:14" ht="15" customHeight="1" x14ac:dyDescent="0.2">
      <c r="A26" s="38">
        <v>15</v>
      </c>
      <c r="B26" s="73">
        <f t="shared" si="2"/>
        <v>639.96041639999999</v>
      </c>
      <c r="C26" s="74">
        <f t="shared" si="0"/>
        <v>746.99999999999989</v>
      </c>
      <c r="D26" s="73">
        <f t="shared" si="3"/>
        <v>239.56289999999996</v>
      </c>
      <c r="E26" s="38">
        <v>15</v>
      </c>
      <c r="F26" s="73">
        <f t="shared" si="4"/>
        <v>831.94854132</v>
      </c>
      <c r="G26" s="73">
        <f t="shared" si="1"/>
        <v>266.805897201324</v>
      </c>
      <c r="I26" s="231" t="s">
        <v>67</v>
      </c>
      <c r="J26" s="231"/>
      <c r="K26" s="232"/>
      <c r="L26" s="229"/>
      <c r="M26" s="8"/>
      <c r="N26" s="8"/>
    </row>
    <row r="27" spans="1:14" ht="15" customHeight="1" thickBot="1" x14ac:dyDescent="0.25">
      <c r="A27" s="38">
        <v>14</v>
      </c>
      <c r="B27" s="73">
        <f t="shared" si="2"/>
        <v>597.29638864000003</v>
      </c>
      <c r="C27" s="74">
        <f t="shared" si="0"/>
        <v>697.20000000000016</v>
      </c>
      <c r="D27" s="73">
        <f t="shared" si="3"/>
        <v>223.59204000000005</v>
      </c>
      <c r="E27" s="38">
        <v>14</v>
      </c>
      <c r="F27" s="73">
        <f t="shared" si="4"/>
        <v>776.48530523199997</v>
      </c>
      <c r="G27" s="73">
        <f t="shared" si="1"/>
        <v>249.01883738790238</v>
      </c>
      <c r="I27" s="231"/>
      <c r="J27" s="231"/>
      <c r="K27" s="232"/>
      <c r="L27" s="230"/>
      <c r="M27" s="8"/>
      <c r="N27" s="8"/>
    </row>
    <row r="28" spans="1:14" ht="15" customHeight="1" thickBot="1" x14ac:dyDescent="0.25">
      <c r="A28" s="38">
        <v>13</v>
      </c>
      <c r="B28" s="73">
        <f t="shared" si="2"/>
        <v>554.63236088000008</v>
      </c>
      <c r="C28" s="74">
        <f t="shared" si="0"/>
        <v>647.4</v>
      </c>
      <c r="D28" s="73">
        <f t="shared" si="3"/>
        <v>207.62117999999998</v>
      </c>
      <c r="E28" s="38">
        <v>13</v>
      </c>
      <c r="F28" s="73">
        <f t="shared" si="4"/>
        <v>721.02206914400006</v>
      </c>
      <c r="G28" s="73">
        <f t="shared" si="1"/>
        <v>231.23177757448082</v>
      </c>
      <c r="I28" s="35"/>
      <c r="J28" s="19"/>
      <c r="K28" s="8"/>
      <c r="L28" s="112"/>
      <c r="M28" s="8"/>
      <c r="N28" s="8"/>
    </row>
    <row r="29" spans="1:14" ht="15" customHeight="1" x14ac:dyDescent="0.2">
      <c r="A29" s="38">
        <v>12</v>
      </c>
      <c r="B29" s="73">
        <f t="shared" si="2"/>
        <v>511.96833312000001</v>
      </c>
      <c r="C29" s="74">
        <f t="shared" si="0"/>
        <v>597.59999999999991</v>
      </c>
      <c r="D29" s="73">
        <f t="shared" si="3"/>
        <v>191.65031999999997</v>
      </c>
      <c r="E29" s="38">
        <v>12</v>
      </c>
      <c r="F29" s="73">
        <f t="shared" si="4"/>
        <v>665.55883305600003</v>
      </c>
      <c r="G29" s="73">
        <f t="shared" si="1"/>
        <v>213.4447177610592</v>
      </c>
      <c r="I29" s="233" t="s">
        <v>63</v>
      </c>
      <c r="J29" s="234"/>
      <c r="K29" s="234"/>
      <c r="L29" s="235"/>
      <c r="M29" s="8"/>
      <c r="N29" s="8"/>
    </row>
    <row r="30" spans="1:14" ht="15" customHeight="1" thickBot="1" x14ac:dyDescent="0.25">
      <c r="A30" s="38">
        <v>11</v>
      </c>
      <c r="B30" s="73">
        <f t="shared" si="2"/>
        <v>469.30430536</v>
      </c>
      <c r="C30" s="74">
        <f t="shared" si="0"/>
        <v>547.79999999999995</v>
      </c>
      <c r="D30" s="73">
        <f t="shared" si="3"/>
        <v>175.67945999999998</v>
      </c>
      <c r="E30" s="38">
        <v>11</v>
      </c>
      <c r="F30" s="73">
        <f t="shared" si="4"/>
        <v>610.095596968</v>
      </c>
      <c r="G30" s="73">
        <f t="shared" si="1"/>
        <v>195.6576579476376</v>
      </c>
      <c r="I30" s="236"/>
      <c r="J30" s="237"/>
      <c r="K30" s="237"/>
      <c r="L30" s="238"/>
      <c r="M30" s="8"/>
      <c r="N30" s="8"/>
    </row>
    <row r="31" spans="1:14" ht="15" customHeight="1" thickBot="1" x14ac:dyDescent="0.25">
      <c r="A31" s="38">
        <v>10</v>
      </c>
      <c r="B31" s="73">
        <f t="shared" si="2"/>
        <v>426.64027760000005</v>
      </c>
      <c r="C31" s="74">
        <f t="shared" si="0"/>
        <v>498</v>
      </c>
      <c r="D31" s="73">
        <f t="shared" si="3"/>
        <v>159.70859999999999</v>
      </c>
      <c r="E31" s="38">
        <v>10</v>
      </c>
      <c r="F31" s="73">
        <f t="shared" si="4"/>
        <v>554.63236088000008</v>
      </c>
      <c r="G31" s="73">
        <f t="shared" si="1"/>
        <v>177.87059813421601</v>
      </c>
      <c r="I31" s="134" t="s">
        <v>68</v>
      </c>
      <c r="J31" s="132" t="s">
        <v>53</v>
      </c>
      <c r="K31" s="130" t="s">
        <v>69</v>
      </c>
      <c r="L31" s="116" t="s">
        <v>55</v>
      </c>
      <c r="M31" s="8"/>
      <c r="N31" s="8"/>
    </row>
    <row r="32" spans="1:14" ht="15" customHeight="1" x14ac:dyDescent="0.2">
      <c r="A32" s="38">
        <v>9</v>
      </c>
      <c r="B32" s="73">
        <f t="shared" si="2"/>
        <v>383.97624984000004</v>
      </c>
      <c r="C32" s="74">
        <f t="shared" si="0"/>
        <v>448.20000000000005</v>
      </c>
      <c r="D32" s="73">
        <f t="shared" si="3"/>
        <v>143.73774</v>
      </c>
      <c r="E32" s="38">
        <v>9</v>
      </c>
      <c r="F32" s="73">
        <f t="shared" si="4"/>
        <v>499.16912479200005</v>
      </c>
      <c r="G32" s="73">
        <f t="shared" si="1"/>
        <v>160.08353832079442</v>
      </c>
      <c r="I32" s="258">
        <f>((L23/37.5*7.5*5)/7)*30*$C$43</f>
        <v>0</v>
      </c>
      <c r="J32" s="260">
        <f>IF(L26&lt;I32,I32,L26)</f>
        <v>0</v>
      </c>
      <c r="K32" s="262">
        <v>32.07</v>
      </c>
      <c r="L32" s="245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341.31222208000003</v>
      </c>
      <c r="C33" s="74">
        <f t="shared" si="0"/>
        <v>398.4</v>
      </c>
      <c r="D33" s="73">
        <f t="shared" si="3"/>
        <v>127.76687999999999</v>
      </c>
      <c r="E33" s="38">
        <v>8</v>
      </c>
      <c r="F33" s="73">
        <f t="shared" si="4"/>
        <v>443.70588870400002</v>
      </c>
      <c r="G33" s="73">
        <f t="shared" si="1"/>
        <v>142.2964785073728</v>
      </c>
      <c r="I33" s="259"/>
      <c r="J33" s="261"/>
      <c r="K33" s="263"/>
      <c r="L33" s="264"/>
      <c r="M33" s="8"/>
      <c r="N33" s="8"/>
    </row>
    <row r="34" spans="1:14" ht="15" customHeight="1" thickBot="1" x14ac:dyDescent="0.25">
      <c r="A34" s="38">
        <v>7</v>
      </c>
      <c r="B34" s="73">
        <f t="shared" si="2"/>
        <v>298.64819432000002</v>
      </c>
      <c r="C34" s="74">
        <f t="shared" si="0"/>
        <v>348.60000000000008</v>
      </c>
      <c r="D34" s="73">
        <f t="shared" si="3"/>
        <v>111.79602000000003</v>
      </c>
      <c r="E34" s="38">
        <v>7</v>
      </c>
      <c r="F34" s="73">
        <f t="shared" si="4"/>
        <v>388.24265261599999</v>
      </c>
      <c r="G34" s="73">
        <f t="shared" si="1"/>
        <v>124.50941869395119</v>
      </c>
      <c r="I34" s="253" t="s">
        <v>64</v>
      </c>
      <c r="J34" s="254"/>
      <c r="K34" s="255"/>
      <c r="L34" s="127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255.98416656000001</v>
      </c>
      <c r="C35" s="74">
        <f t="shared" si="0"/>
        <v>298.79999999999995</v>
      </c>
      <c r="D35" s="73">
        <f t="shared" si="3"/>
        <v>95.825159999999983</v>
      </c>
      <c r="E35" s="38">
        <v>6</v>
      </c>
      <c r="F35" s="73">
        <f t="shared" si="4"/>
        <v>332.77941652800001</v>
      </c>
      <c r="G35" s="73">
        <f t="shared" si="1"/>
        <v>106.7223588805296</v>
      </c>
      <c r="I35" s="35"/>
      <c r="J35" s="19"/>
      <c r="K35" s="8"/>
      <c r="L35" s="112"/>
      <c r="M35" s="8"/>
      <c r="N35" s="133"/>
    </row>
    <row r="36" spans="1:14" ht="15" customHeight="1" x14ac:dyDescent="0.2">
      <c r="A36" s="38">
        <v>5</v>
      </c>
      <c r="B36" s="73">
        <f t="shared" si="2"/>
        <v>213.32013880000002</v>
      </c>
      <c r="C36" s="74">
        <f t="shared" si="0"/>
        <v>249</v>
      </c>
      <c r="D36" s="73">
        <f t="shared" si="3"/>
        <v>79.854299999999995</v>
      </c>
      <c r="E36" s="38">
        <v>5</v>
      </c>
      <c r="F36" s="73">
        <f t="shared" si="4"/>
        <v>277.31618044000004</v>
      </c>
      <c r="G36" s="73">
        <f t="shared" si="1"/>
        <v>88.935299067108005</v>
      </c>
      <c r="I36" s="256" t="s">
        <v>66</v>
      </c>
      <c r="J36" s="256"/>
      <c r="K36" s="256"/>
      <c r="L36" s="256"/>
      <c r="M36" s="257" t="s">
        <v>98</v>
      </c>
      <c r="N36" s="257"/>
    </row>
    <row r="37" spans="1:14" ht="15" customHeight="1" x14ac:dyDescent="0.2">
      <c r="A37" s="38">
        <v>4</v>
      </c>
      <c r="B37" s="73">
        <f t="shared" si="2"/>
        <v>170.65611104000001</v>
      </c>
      <c r="C37" s="74">
        <f t="shared" si="0"/>
        <v>199.2</v>
      </c>
      <c r="D37" s="73">
        <f t="shared" si="3"/>
        <v>63.883439999999993</v>
      </c>
      <c r="E37" s="38">
        <v>4</v>
      </c>
      <c r="F37" s="73">
        <f t="shared" si="4"/>
        <v>221.85294435200001</v>
      </c>
      <c r="G37" s="73">
        <f t="shared" si="1"/>
        <v>71.148239253686398</v>
      </c>
      <c r="I37" s="256"/>
      <c r="J37" s="256"/>
      <c r="K37" s="256"/>
      <c r="L37" s="256"/>
      <c r="M37" s="257"/>
      <c r="N37" s="257"/>
    </row>
    <row r="38" spans="1:14" ht="15" customHeight="1" x14ac:dyDescent="0.2">
      <c r="A38" s="38">
        <v>3</v>
      </c>
      <c r="B38" s="73">
        <f t="shared" si="2"/>
        <v>127.99208328</v>
      </c>
      <c r="C38" s="74">
        <f t="shared" si="0"/>
        <v>149.39999999999998</v>
      </c>
      <c r="D38" s="73">
        <f t="shared" si="3"/>
        <v>47.912579999999991</v>
      </c>
      <c r="E38" s="38">
        <v>3</v>
      </c>
      <c r="F38" s="73">
        <f t="shared" si="4"/>
        <v>166.38970826400001</v>
      </c>
      <c r="G38" s="73">
        <f t="shared" si="1"/>
        <v>53.361179440264799</v>
      </c>
      <c r="I38" s="5"/>
    </row>
    <row r="39" spans="1:14" ht="15" customHeight="1" x14ac:dyDescent="0.2">
      <c r="A39" s="38">
        <v>2</v>
      </c>
      <c r="B39" s="73">
        <f t="shared" si="2"/>
        <v>85.328055520000007</v>
      </c>
      <c r="C39" s="74">
        <f t="shared" si="0"/>
        <v>99.6</v>
      </c>
      <c r="D39" s="73">
        <f t="shared" si="3"/>
        <v>31.941719999999997</v>
      </c>
      <c r="E39" s="38">
        <v>2</v>
      </c>
      <c r="F39" s="73">
        <f t="shared" si="4"/>
        <v>110.926472176</v>
      </c>
      <c r="G39" s="73">
        <f t="shared" si="1"/>
        <v>35.574119626843199</v>
      </c>
      <c r="I39" s="5"/>
    </row>
    <row r="40" spans="1:14" ht="15" customHeight="1" x14ac:dyDescent="0.2">
      <c r="A40" s="39">
        <v>1</v>
      </c>
      <c r="B40" s="75">
        <f t="shared" si="2"/>
        <v>42.664027760000003</v>
      </c>
      <c r="C40" s="76">
        <f t="shared" si="0"/>
        <v>49.8</v>
      </c>
      <c r="D40" s="75">
        <f t="shared" si="3"/>
        <v>15.970859999999998</v>
      </c>
      <c r="E40" s="39">
        <v>1</v>
      </c>
      <c r="F40" s="75">
        <f t="shared" si="4"/>
        <v>55.463236088000002</v>
      </c>
      <c r="G40" s="75">
        <f t="shared" si="1"/>
        <v>17.7870598134216</v>
      </c>
      <c r="I40" s="5"/>
    </row>
    <row r="41" spans="1:14" hidden="1" x14ac:dyDescent="0.2"/>
    <row r="42" spans="1:14" ht="15" hidden="1" thickBot="1" x14ac:dyDescent="0.25">
      <c r="C42" s="208" t="s">
        <v>94</v>
      </c>
    </row>
    <row r="43" spans="1:14" s="21" customFormat="1" ht="39.4" hidden="1" customHeight="1" thickBot="1" x14ac:dyDescent="0.25">
      <c r="A43" s="187"/>
      <c r="B43" s="205" t="s">
        <v>13</v>
      </c>
      <c r="C43" s="206">
        <v>11.62</v>
      </c>
      <c r="D43" s="187"/>
      <c r="E43" s="189"/>
      <c r="F43" s="187"/>
      <c r="G43" s="187"/>
      <c r="I43" s="190"/>
    </row>
    <row r="44" spans="1:14" hidden="1" x14ac:dyDescent="0.2"/>
  </sheetData>
  <sheetProtection algorithmName="SHA-512" hashValue="5lfrasMohtBKwaD0MuYXbSNgIIODPZCrQAJN6S4H2D/OoLmOb31m/YwD0ZJeIsVHwT/79mZXjgxNGXsnHaCqlw==" saltValue="Po1mmLNdrKJz1bhRuYlDDg==" spinCount="100000" sheet="1" objects="1" scenarios="1"/>
  <protectedRanges>
    <protectedRange sqref="M36" name="CALCULO RC"/>
    <protectedRange sqref="L8" name="RET TC_1"/>
    <protectedRange sqref="L23" name="DED_1"/>
    <protectedRange sqref="L26" name="RET TP_1"/>
  </protectedRanges>
  <mergeCells count="36">
    <mergeCell ref="B2:D2"/>
    <mergeCell ref="F2:G2"/>
    <mergeCell ref="A1:G1"/>
    <mergeCell ref="I2:K2"/>
    <mergeCell ref="L2:M2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N36:N37"/>
    <mergeCell ref="I20:N21"/>
    <mergeCell ref="I23:K24"/>
    <mergeCell ref="L23:L24"/>
    <mergeCell ref="I26:K27"/>
    <mergeCell ref="L26:L27"/>
    <mergeCell ref="I34:K34"/>
    <mergeCell ref="I36:L37"/>
    <mergeCell ref="M36:M37"/>
    <mergeCell ref="I29:L30"/>
    <mergeCell ref="I32:I33"/>
    <mergeCell ref="J32:J33"/>
    <mergeCell ref="K32:K33"/>
    <mergeCell ref="L32:L33"/>
  </mergeCells>
  <hyperlinks>
    <hyperlink ref="M36:M37" r:id="rId1" display="CALCULO RC E INDEMNIZACION" xr:uid="{00000000-0004-0000-04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3"/>
  <sheetViews>
    <sheetView topLeftCell="B1" zoomScale="93" zoomScaleNormal="93" workbookViewId="0">
      <selection activeCell="N22" sqref="N22"/>
    </sheetView>
  </sheetViews>
  <sheetFormatPr baseColWidth="10" defaultColWidth="11.5703125" defaultRowHeight="14.25" x14ac:dyDescent="0.2"/>
  <cols>
    <col min="1" max="1" width="18.42578125" style="4" customWidth="1"/>
    <col min="2" max="2" width="24.42578125" style="68" customWidth="1"/>
    <col min="3" max="3" width="9.28515625" style="69" hidden="1" customWidth="1"/>
    <col min="4" max="4" width="18.4257812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20.7109375" style="7" customWidth="1"/>
    <col min="10" max="10" width="19.7109375" style="5" customWidth="1"/>
    <col min="11" max="11" width="20.5703125" style="5" customWidth="1"/>
    <col min="12" max="12" width="17.28515625" style="5" customWidth="1"/>
    <col min="13" max="13" width="15.5703125" style="5" customWidth="1"/>
    <col min="14" max="16384" width="11.5703125" style="5"/>
  </cols>
  <sheetData>
    <row r="1" spans="1:14" s="8" customFormat="1" ht="65.25" customHeight="1" x14ac:dyDescent="0.2">
      <c r="A1" s="217" t="s">
        <v>111</v>
      </c>
      <c r="B1" s="218"/>
      <c r="C1" s="218"/>
      <c r="D1" s="218"/>
      <c r="E1" s="218"/>
      <c r="F1" s="218"/>
      <c r="G1" s="218"/>
      <c r="K1" s="19"/>
    </row>
    <row r="2" spans="1:14" s="36" customFormat="1" ht="24.75" customHeight="1" x14ac:dyDescent="0.2">
      <c r="A2" s="44"/>
      <c r="B2" s="296" t="s">
        <v>45</v>
      </c>
      <c r="C2" s="296"/>
      <c r="D2" s="297"/>
      <c r="E2" s="42"/>
      <c r="F2" s="296" t="s">
        <v>46</v>
      </c>
      <c r="G2" s="297"/>
      <c r="I2" s="219" t="s">
        <v>48</v>
      </c>
      <c r="J2" s="219"/>
      <c r="K2" s="219"/>
      <c r="L2" s="219" t="s">
        <v>52</v>
      </c>
      <c r="M2" s="219"/>
    </row>
    <row r="3" spans="1:14" s="27" customFormat="1" ht="38.25" x14ac:dyDescent="0.2">
      <c r="A3" s="43" t="s">
        <v>43</v>
      </c>
      <c r="B3" s="65" t="s">
        <v>44</v>
      </c>
      <c r="C3" s="66" t="s">
        <v>90</v>
      </c>
      <c r="D3" s="67" t="s">
        <v>106</v>
      </c>
      <c r="E3" s="40" t="s">
        <v>43</v>
      </c>
      <c r="F3" s="65" t="s">
        <v>44</v>
      </c>
      <c r="G3" s="67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4" ht="15" customHeight="1" x14ac:dyDescent="0.2">
      <c r="A4" s="37">
        <v>37.5</v>
      </c>
      <c r="B4" s="71">
        <f>PARAMETROS!B7</f>
        <v>1499.9076611</v>
      </c>
      <c r="C4" s="72"/>
      <c r="D4" s="71"/>
      <c r="E4" s="37">
        <v>37.5</v>
      </c>
      <c r="F4" s="71">
        <f>PARAMETROS!C7</f>
        <v>1949.8804816249999</v>
      </c>
      <c r="G4" s="71">
        <f>IF(F4&gt;$K$4,$K$4*$K$18%,F4*$K$18%)</f>
        <v>625.32667045713742</v>
      </c>
      <c r="I4" s="220">
        <v>2</v>
      </c>
      <c r="J4" s="300">
        <v>1599.6</v>
      </c>
      <c r="K4" s="300">
        <v>4909.5</v>
      </c>
      <c r="L4" s="301">
        <v>1381.2</v>
      </c>
      <c r="M4" s="301">
        <v>4909.5</v>
      </c>
      <c r="N4" s="8"/>
    </row>
    <row r="5" spans="1:14" x14ac:dyDescent="0.2">
      <c r="A5" s="38">
        <v>36</v>
      </c>
      <c r="B5" s="73">
        <f>PRODUCT(B$4,A5)/A$4</f>
        <v>1439.911354656</v>
      </c>
      <c r="C5" s="74">
        <f t="shared" ref="C5:C40" si="0">(A5/$A$4*7.5*5)/7*30*$C$43</f>
        <v>1487.3142857142859</v>
      </c>
      <c r="D5" s="73">
        <f>IF(B5&lt;C5,C5*$K$18%,B5*$K$18%)</f>
        <v>476.98169142857148</v>
      </c>
      <c r="E5" s="38">
        <v>36</v>
      </c>
      <c r="F5" s="73">
        <f>PRODUCT(F$4,E5)/E$4</f>
        <v>1871.8852623600001</v>
      </c>
      <c r="G5" s="73">
        <f t="shared" ref="G5:G40" si="1">IF(F5&gt;$K$4,$K$4*$K$18%,F5*$K$18%)</f>
        <v>600.31360363885199</v>
      </c>
      <c r="I5" s="220"/>
      <c r="J5" s="300"/>
      <c r="K5" s="300"/>
      <c r="L5" s="301"/>
      <c r="M5" s="301"/>
      <c r="N5" s="8"/>
    </row>
    <row r="6" spans="1:14" x14ac:dyDescent="0.2">
      <c r="A6" s="38">
        <v>35</v>
      </c>
      <c r="B6" s="73">
        <f t="shared" ref="B6:B40" si="2">PRODUCT(B$4,A6)/A$4</f>
        <v>1399.9138170266667</v>
      </c>
      <c r="C6" s="74">
        <f t="shared" si="0"/>
        <v>1446</v>
      </c>
      <c r="D6" s="73">
        <f t="shared" ref="D6:D40" si="3">IF(B6&lt;C6,C6*$K$18%,B6*$K$18%)</f>
        <v>463.73219999999998</v>
      </c>
      <c r="E6" s="38">
        <v>35</v>
      </c>
      <c r="F6" s="73">
        <f t="shared" ref="F6:F40" si="4">PRODUCT(F$4,E6)/E$4</f>
        <v>1819.8884495166667</v>
      </c>
      <c r="G6" s="73">
        <f t="shared" si="1"/>
        <v>583.63822575999495</v>
      </c>
      <c r="I6" s="35"/>
      <c r="J6" s="8"/>
      <c r="K6" s="8"/>
      <c r="L6" s="112"/>
      <c r="M6" s="8"/>
      <c r="N6" s="8"/>
    </row>
    <row r="7" spans="1:14" ht="15" thickBot="1" x14ac:dyDescent="0.25">
      <c r="A7" s="38">
        <v>34</v>
      </c>
      <c r="B7" s="73">
        <f t="shared" si="2"/>
        <v>1359.9162793973333</v>
      </c>
      <c r="C7" s="74">
        <f t="shared" si="0"/>
        <v>1404.6857142857141</v>
      </c>
      <c r="D7" s="73">
        <f t="shared" si="3"/>
        <v>450.48270857142847</v>
      </c>
      <c r="E7" s="38">
        <v>34</v>
      </c>
      <c r="F7" s="73">
        <f t="shared" si="4"/>
        <v>1767.8916366733331</v>
      </c>
      <c r="G7" s="73">
        <f t="shared" si="1"/>
        <v>566.96284788113792</v>
      </c>
      <c r="I7" s="35"/>
      <c r="J7" s="19"/>
      <c r="K7" s="8"/>
      <c r="L7" s="112"/>
      <c r="M7" s="8"/>
      <c r="N7" s="8"/>
    </row>
    <row r="8" spans="1:14" x14ac:dyDescent="0.2">
      <c r="A8" s="38">
        <v>33</v>
      </c>
      <c r="B8" s="73">
        <f t="shared" si="2"/>
        <v>1319.918741768</v>
      </c>
      <c r="C8" s="74">
        <f t="shared" si="0"/>
        <v>1363.3714285714289</v>
      </c>
      <c r="D8" s="73">
        <f t="shared" si="3"/>
        <v>437.2332171428572</v>
      </c>
      <c r="E8" s="38">
        <v>33</v>
      </c>
      <c r="F8" s="73">
        <f t="shared" si="4"/>
        <v>1715.89482383</v>
      </c>
      <c r="G8" s="73">
        <f t="shared" si="1"/>
        <v>550.287470002281</v>
      </c>
      <c r="I8" s="231" t="s">
        <v>88</v>
      </c>
      <c r="J8" s="231"/>
      <c r="K8" s="232"/>
      <c r="L8" s="229">
        <v>1300</v>
      </c>
      <c r="M8" s="8"/>
      <c r="N8" s="8"/>
    </row>
    <row r="9" spans="1:14" ht="15" thickBot="1" x14ac:dyDescent="0.25">
      <c r="A9" s="38">
        <v>32</v>
      </c>
      <c r="B9" s="73">
        <f t="shared" si="2"/>
        <v>1279.9212041386668</v>
      </c>
      <c r="C9" s="74">
        <f t="shared" si="0"/>
        <v>1322.0571428571429</v>
      </c>
      <c r="D9" s="73">
        <f t="shared" si="3"/>
        <v>423.9837257142857</v>
      </c>
      <c r="E9" s="38">
        <v>32</v>
      </c>
      <c r="F9" s="73">
        <f t="shared" si="4"/>
        <v>1663.8980109866666</v>
      </c>
      <c r="G9" s="73">
        <f t="shared" si="1"/>
        <v>533.61209212342396</v>
      </c>
      <c r="I9" s="231"/>
      <c r="J9" s="231"/>
      <c r="K9" s="232"/>
      <c r="L9" s="230"/>
      <c r="M9" s="8"/>
      <c r="N9" s="8"/>
    </row>
    <row r="10" spans="1:14" ht="15" thickBot="1" x14ac:dyDescent="0.25">
      <c r="A10" s="38">
        <v>31</v>
      </c>
      <c r="B10" s="73">
        <f t="shared" si="2"/>
        <v>1239.9236665093333</v>
      </c>
      <c r="C10" s="74">
        <f t="shared" si="0"/>
        <v>1280.7428571428572</v>
      </c>
      <c r="D10" s="73">
        <f t="shared" si="3"/>
        <v>410.73423428571431</v>
      </c>
      <c r="E10" s="38">
        <v>31</v>
      </c>
      <c r="F10" s="73">
        <f t="shared" si="4"/>
        <v>1611.9011981433332</v>
      </c>
      <c r="G10" s="73">
        <f t="shared" si="1"/>
        <v>516.93671424456693</v>
      </c>
      <c r="I10" s="117"/>
      <c r="J10" s="118"/>
      <c r="K10" s="119"/>
      <c r="L10" s="120"/>
      <c r="M10" s="8"/>
      <c r="N10" s="8"/>
    </row>
    <row r="11" spans="1:14" x14ac:dyDescent="0.2">
      <c r="A11" s="38">
        <v>30</v>
      </c>
      <c r="B11" s="73">
        <f t="shared" si="2"/>
        <v>1199.9261288800001</v>
      </c>
      <c r="C11" s="74">
        <f t="shared" si="0"/>
        <v>1239.4285714285713</v>
      </c>
      <c r="D11" s="73">
        <f t="shared" si="3"/>
        <v>397.48474285714281</v>
      </c>
      <c r="E11" s="38">
        <v>30</v>
      </c>
      <c r="F11" s="73">
        <f t="shared" si="4"/>
        <v>1559.9043852999998</v>
      </c>
      <c r="G11" s="73">
        <f t="shared" si="1"/>
        <v>500.26133636570989</v>
      </c>
      <c r="I11" s="233" t="s">
        <v>60</v>
      </c>
      <c r="J11" s="234"/>
      <c r="K11" s="234"/>
      <c r="L11" s="235"/>
      <c r="M11" s="8"/>
      <c r="N11" s="8"/>
    </row>
    <row r="12" spans="1:14" ht="15" thickBot="1" x14ac:dyDescent="0.25">
      <c r="A12" s="38">
        <v>29</v>
      </c>
      <c r="B12" s="73">
        <f t="shared" si="2"/>
        <v>1159.9285912506666</v>
      </c>
      <c r="C12" s="74">
        <f t="shared" si="0"/>
        <v>1198.1142857142859</v>
      </c>
      <c r="D12" s="73">
        <f t="shared" si="3"/>
        <v>384.23525142857147</v>
      </c>
      <c r="E12" s="38">
        <v>29</v>
      </c>
      <c r="F12" s="73">
        <f t="shared" si="4"/>
        <v>1507.9075724566667</v>
      </c>
      <c r="G12" s="73">
        <f t="shared" si="1"/>
        <v>483.58595848685297</v>
      </c>
      <c r="I12" s="236"/>
      <c r="J12" s="237"/>
      <c r="K12" s="237"/>
      <c r="L12" s="238"/>
      <c r="M12" s="8"/>
      <c r="N12" s="8"/>
    </row>
    <row r="13" spans="1:14" ht="15" thickBot="1" x14ac:dyDescent="0.25">
      <c r="A13" s="38">
        <v>28</v>
      </c>
      <c r="B13" s="73">
        <f t="shared" si="2"/>
        <v>1119.9310536213334</v>
      </c>
      <c r="C13" s="74">
        <f t="shared" si="0"/>
        <v>1156.8000000000004</v>
      </c>
      <c r="D13" s="73">
        <f t="shared" si="3"/>
        <v>370.98576000000014</v>
      </c>
      <c r="E13" s="38">
        <v>28</v>
      </c>
      <c r="F13" s="73">
        <f t="shared" si="4"/>
        <v>1455.9107596133333</v>
      </c>
      <c r="G13" s="73">
        <f t="shared" si="1"/>
        <v>466.910580607996</v>
      </c>
      <c r="I13" s="114"/>
      <c r="J13" s="115" t="s">
        <v>53</v>
      </c>
      <c r="K13" s="130" t="s">
        <v>54</v>
      </c>
      <c r="L13" s="116" t="s">
        <v>55</v>
      </c>
      <c r="M13" s="8"/>
      <c r="N13" s="8"/>
    </row>
    <row r="14" spans="1:14" x14ac:dyDescent="0.2">
      <c r="A14" s="38">
        <v>27</v>
      </c>
      <c r="B14" s="73">
        <f t="shared" si="2"/>
        <v>1079.9335159920001</v>
      </c>
      <c r="C14" s="74">
        <f t="shared" si="0"/>
        <v>1115.4857142857143</v>
      </c>
      <c r="D14" s="73">
        <f t="shared" si="3"/>
        <v>357.73626857142852</v>
      </c>
      <c r="E14" s="38">
        <v>27</v>
      </c>
      <c r="F14" s="73">
        <f t="shared" si="4"/>
        <v>1403.9139467699999</v>
      </c>
      <c r="G14" s="73">
        <f t="shared" si="1"/>
        <v>450.23520272913896</v>
      </c>
      <c r="I14" s="239" t="s">
        <v>56</v>
      </c>
      <c r="J14" s="241">
        <f>IF(L8&gt;=J4,L8,J4)</f>
        <v>1599.6</v>
      </c>
      <c r="K14" s="243">
        <v>24.27</v>
      </c>
      <c r="L14" s="249">
        <f>J14*K14%</f>
        <v>388.22291999999999</v>
      </c>
      <c r="M14" s="8"/>
      <c r="N14" s="8"/>
    </row>
    <row r="15" spans="1:14" ht="15" thickBot="1" x14ac:dyDescent="0.25">
      <c r="A15" s="38">
        <v>26</v>
      </c>
      <c r="B15" s="73">
        <f t="shared" si="2"/>
        <v>1039.9359783626667</v>
      </c>
      <c r="C15" s="74">
        <f t="shared" si="0"/>
        <v>1074.1714285714286</v>
      </c>
      <c r="D15" s="73">
        <f t="shared" si="3"/>
        <v>344.48677714285714</v>
      </c>
      <c r="E15" s="38">
        <v>26</v>
      </c>
      <c r="F15" s="73">
        <f t="shared" si="4"/>
        <v>1351.9171339266666</v>
      </c>
      <c r="G15" s="73">
        <f t="shared" si="1"/>
        <v>433.55982485028193</v>
      </c>
      <c r="I15" s="240"/>
      <c r="J15" s="242"/>
      <c r="K15" s="244"/>
      <c r="L15" s="250"/>
      <c r="M15" s="8"/>
      <c r="N15" s="8"/>
    </row>
    <row r="16" spans="1:14" x14ac:dyDescent="0.2">
      <c r="A16" s="38">
        <v>25</v>
      </c>
      <c r="B16" s="73">
        <f t="shared" si="2"/>
        <v>999.93844073333332</v>
      </c>
      <c r="C16" s="74">
        <f t="shared" si="0"/>
        <v>1032.8571428571431</v>
      </c>
      <c r="D16" s="73">
        <f t="shared" si="3"/>
        <v>331.2372857142858</v>
      </c>
      <c r="E16" s="38">
        <v>25</v>
      </c>
      <c r="F16" s="73">
        <f t="shared" si="4"/>
        <v>1299.9203210833332</v>
      </c>
      <c r="G16" s="73">
        <f t="shared" si="1"/>
        <v>416.88444697142495</v>
      </c>
      <c r="I16" s="247" t="s">
        <v>57</v>
      </c>
      <c r="J16" s="241">
        <f>IF(L8&gt;=L4,L8,L4)</f>
        <v>1381.2</v>
      </c>
      <c r="K16" s="243">
        <v>7.8</v>
      </c>
      <c r="L16" s="245">
        <f>J16*K16%</f>
        <v>107.73360000000001</v>
      </c>
      <c r="M16" s="8"/>
      <c r="N16" s="8"/>
    </row>
    <row r="17" spans="1:14" ht="15" thickBot="1" x14ac:dyDescent="0.25">
      <c r="A17" s="38">
        <v>24</v>
      </c>
      <c r="B17" s="73">
        <f t="shared" si="2"/>
        <v>959.94090310399997</v>
      </c>
      <c r="C17" s="74">
        <f t="shared" si="0"/>
        <v>991.54285714285709</v>
      </c>
      <c r="D17" s="73">
        <f t="shared" si="3"/>
        <v>317.98779428571424</v>
      </c>
      <c r="E17" s="38">
        <v>24</v>
      </c>
      <c r="F17" s="73">
        <f t="shared" si="4"/>
        <v>1247.92350824</v>
      </c>
      <c r="G17" s="73">
        <f t="shared" si="1"/>
        <v>400.20906909256797</v>
      </c>
      <c r="I17" s="248"/>
      <c r="J17" s="242"/>
      <c r="K17" s="244">
        <v>0.2</v>
      </c>
      <c r="L17" s="246"/>
      <c r="M17" s="8"/>
      <c r="N17" s="8"/>
    </row>
    <row r="18" spans="1:14" ht="15" thickBot="1" x14ac:dyDescent="0.25">
      <c r="A18" s="38">
        <v>23</v>
      </c>
      <c r="B18" s="73">
        <f t="shared" si="2"/>
        <v>919.94336547466673</v>
      </c>
      <c r="C18" s="74">
        <f t="shared" si="0"/>
        <v>950.22857142857151</v>
      </c>
      <c r="D18" s="73">
        <f t="shared" si="3"/>
        <v>304.73830285714286</v>
      </c>
      <c r="E18" s="38">
        <v>23</v>
      </c>
      <c r="F18" s="73">
        <f t="shared" si="4"/>
        <v>1195.9266953966667</v>
      </c>
      <c r="G18" s="73">
        <f t="shared" si="1"/>
        <v>383.53369121371099</v>
      </c>
      <c r="I18" s="227" t="s">
        <v>61</v>
      </c>
      <c r="J18" s="228"/>
      <c r="K18" s="131">
        <f>(K14+K16)</f>
        <v>32.07</v>
      </c>
      <c r="L18" s="127">
        <f>SUM(L14:L17)</f>
        <v>495.95652000000001</v>
      </c>
      <c r="M18" s="8"/>
      <c r="N18" s="8"/>
    </row>
    <row r="19" spans="1:14" x14ac:dyDescent="0.2">
      <c r="A19" s="38">
        <v>22</v>
      </c>
      <c r="B19" s="73">
        <f t="shared" si="2"/>
        <v>879.9458278453335</v>
      </c>
      <c r="C19" s="74">
        <f t="shared" si="0"/>
        <v>908.91428571428571</v>
      </c>
      <c r="D19" s="73">
        <f t="shared" si="3"/>
        <v>291.48881142857141</v>
      </c>
      <c r="E19" s="38">
        <v>22</v>
      </c>
      <c r="F19" s="73">
        <f t="shared" si="4"/>
        <v>1143.9298825533333</v>
      </c>
      <c r="G19" s="73">
        <f t="shared" si="1"/>
        <v>366.85831333485396</v>
      </c>
      <c r="I19" s="123"/>
      <c r="J19" s="124"/>
      <c r="K19" s="125"/>
      <c r="L19" s="126"/>
      <c r="M19" s="8"/>
      <c r="N19" s="8"/>
    </row>
    <row r="20" spans="1:14" ht="14.25" customHeight="1" x14ac:dyDescent="0.2">
      <c r="A20" s="38">
        <v>21</v>
      </c>
      <c r="B20" s="73">
        <f t="shared" si="2"/>
        <v>839.94829021599992</v>
      </c>
      <c r="C20" s="74">
        <f t="shared" si="0"/>
        <v>867.6</v>
      </c>
      <c r="D20" s="73">
        <f t="shared" si="3"/>
        <v>278.23932000000002</v>
      </c>
      <c r="E20" s="38">
        <v>21</v>
      </c>
      <c r="F20" s="73">
        <f t="shared" si="4"/>
        <v>1091.9330697099999</v>
      </c>
      <c r="G20" s="73">
        <f t="shared" si="1"/>
        <v>350.18293545599698</v>
      </c>
      <c r="I20" s="216" t="s">
        <v>76</v>
      </c>
      <c r="J20" s="216"/>
      <c r="K20" s="216"/>
      <c r="L20" s="216"/>
      <c r="M20" s="216"/>
      <c r="N20" s="144"/>
    </row>
    <row r="21" spans="1:14" x14ac:dyDescent="0.2">
      <c r="A21" s="38">
        <v>20</v>
      </c>
      <c r="B21" s="73">
        <f t="shared" si="2"/>
        <v>799.95075258666668</v>
      </c>
      <c r="C21" s="74">
        <f t="shared" si="0"/>
        <v>826.28571428571445</v>
      </c>
      <c r="D21" s="73">
        <f t="shared" si="3"/>
        <v>264.98982857142863</v>
      </c>
      <c r="E21" s="38">
        <v>20</v>
      </c>
      <c r="F21" s="73">
        <f t="shared" si="4"/>
        <v>1039.9362568666666</v>
      </c>
      <c r="G21" s="73">
        <f t="shared" si="1"/>
        <v>333.50755757713995</v>
      </c>
      <c r="I21" s="216"/>
      <c r="J21" s="216"/>
      <c r="K21" s="216"/>
      <c r="L21" s="216"/>
      <c r="M21" s="216"/>
      <c r="N21" s="144"/>
    </row>
    <row r="22" spans="1:14" ht="15" thickBot="1" x14ac:dyDescent="0.25">
      <c r="A22" s="38">
        <v>19</v>
      </c>
      <c r="B22" s="73">
        <f t="shared" si="2"/>
        <v>759.95321495733344</v>
      </c>
      <c r="C22" s="74">
        <f t="shared" si="0"/>
        <v>784.97142857142865</v>
      </c>
      <c r="D22" s="73">
        <f t="shared" si="3"/>
        <v>251.74033714285716</v>
      </c>
      <c r="E22" s="38">
        <v>19</v>
      </c>
      <c r="F22" s="73">
        <f t="shared" si="4"/>
        <v>987.93944402333329</v>
      </c>
      <c r="G22" s="73">
        <f t="shared" si="1"/>
        <v>316.83217969828297</v>
      </c>
      <c r="I22" s="35"/>
      <c r="J22" s="19"/>
      <c r="K22" s="8"/>
      <c r="L22" s="112"/>
      <c r="M22" s="8"/>
      <c r="N22" s="8"/>
    </row>
    <row r="23" spans="1:14" x14ac:dyDescent="0.2">
      <c r="A23" s="38">
        <v>18</v>
      </c>
      <c r="B23" s="73">
        <f t="shared" si="2"/>
        <v>719.95567732799998</v>
      </c>
      <c r="C23" s="74">
        <f t="shared" si="0"/>
        <v>743.65714285714296</v>
      </c>
      <c r="D23" s="73">
        <f t="shared" si="3"/>
        <v>238.49084571428574</v>
      </c>
      <c r="E23" s="38">
        <v>18</v>
      </c>
      <c r="F23" s="73">
        <f t="shared" si="4"/>
        <v>935.94263118000003</v>
      </c>
      <c r="G23" s="73">
        <f t="shared" si="1"/>
        <v>300.15680181942599</v>
      </c>
      <c r="I23" s="231" t="s">
        <v>62</v>
      </c>
      <c r="J23" s="231"/>
      <c r="K23" s="232"/>
      <c r="L23" s="298">
        <v>0</v>
      </c>
      <c r="M23" s="8"/>
      <c r="N23" s="8"/>
    </row>
    <row r="24" spans="1:14" ht="15" thickBot="1" x14ac:dyDescent="0.25">
      <c r="A24" s="38">
        <v>17</v>
      </c>
      <c r="B24" s="73">
        <f t="shared" si="2"/>
        <v>679.95813969866663</v>
      </c>
      <c r="C24" s="74">
        <f t="shared" si="0"/>
        <v>702.34285714285704</v>
      </c>
      <c r="D24" s="73">
        <f t="shared" si="3"/>
        <v>225.24135428571424</v>
      </c>
      <c r="E24" s="38">
        <v>17</v>
      </c>
      <c r="F24" s="73">
        <f t="shared" si="4"/>
        <v>883.94581833666655</v>
      </c>
      <c r="G24" s="73">
        <f t="shared" si="1"/>
        <v>283.48142394056896</v>
      </c>
      <c r="I24" s="231"/>
      <c r="J24" s="231"/>
      <c r="K24" s="232"/>
      <c r="L24" s="299"/>
      <c r="M24" s="8"/>
      <c r="N24" s="8"/>
    </row>
    <row r="25" spans="1:14" ht="15" thickBot="1" x14ac:dyDescent="0.25">
      <c r="A25" s="38">
        <v>16</v>
      </c>
      <c r="B25" s="73">
        <f t="shared" si="2"/>
        <v>639.96060206933339</v>
      </c>
      <c r="C25" s="74">
        <f t="shared" si="0"/>
        <v>661.02857142857147</v>
      </c>
      <c r="D25" s="73">
        <f t="shared" si="3"/>
        <v>211.99186285714285</v>
      </c>
      <c r="E25" s="38">
        <v>16</v>
      </c>
      <c r="F25" s="73">
        <f t="shared" si="4"/>
        <v>831.94900549333329</v>
      </c>
      <c r="G25" s="73">
        <f t="shared" si="1"/>
        <v>266.80604606171198</v>
      </c>
      <c r="I25" s="35"/>
      <c r="J25" s="19"/>
      <c r="K25" s="8"/>
      <c r="L25" s="112"/>
      <c r="M25" s="8"/>
      <c r="N25" s="8"/>
    </row>
    <row r="26" spans="1:14" x14ac:dyDescent="0.2">
      <c r="A26" s="38">
        <v>15</v>
      </c>
      <c r="B26" s="73">
        <f t="shared" si="2"/>
        <v>599.96306444000004</v>
      </c>
      <c r="C26" s="74">
        <f t="shared" si="0"/>
        <v>619.71428571428567</v>
      </c>
      <c r="D26" s="73">
        <f t="shared" si="3"/>
        <v>198.7423714285714</v>
      </c>
      <c r="E26" s="38">
        <v>15</v>
      </c>
      <c r="F26" s="73">
        <f t="shared" si="4"/>
        <v>779.95219264999992</v>
      </c>
      <c r="G26" s="73">
        <f t="shared" si="1"/>
        <v>250.13066818285495</v>
      </c>
      <c r="I26" s="231" t="s">
        <v>67</v>
      </c>
      <c r="J26" s="231"/>
      <c r="K26" s="232"/>
      <c r="L26" s="294">
        <v>0</v>
      </c>
      <c r="M26" s="8"/>
      <c r="N26" s="8"/>
    </row>
    <row r="27" spans="1:14" ht="15" thickBot="1" x14ac:dyDescent="0.25">
      <c r="A27" s="38">
        <v>14</v>
      </c>
      <c r="B27" s="73">
        <f t="shared" si="2"/>
        <v>559.96552681066669</v>
      </c>
      <c r="C27" s="74">
        <f t="shared" si="0"/>
        <v>578.4000000000002</v>
      </c>
      <c r="D27" s="73">
        <f t="shared" si="3"/>
        <v>185.49288000000007</v>
      </c>
      <c r="E27" s="38">
        <v>14</v>
      </c>
      <c r="F27" s="73">
        <f t="shared" si="4"/>
        <v>727.95537980666666</v>
      </c>
      <c r="G27" s="73">
        <f t="shared" si="1"/>
        <v>233.455290303998</v>
      </c>
      <c r="I27" s="231"/>
      <c r="J27" s="231"/>
      <c r="K27" s="232"/>
      <c r="L27" s="295"/>
      <c r="M27" s="8"/>
      <c r="N27" s="8"/>
    </row>
    <row r="28" spans="1:14" ht="15" thickBot="1" x14ac:dyDescent="0.25">
      <c r="A28" s="38">
        <v>13</v>
      </c>
      <c r="B28" s="73">
        <f t="shared" si="2"/>
        <v>519.96798918133334</v>
      </c>
      <c r="C28" s="74">
        <f t="shared" si="0"/>
        <v>537.08571428571429</v>
      </c>
      <c r="D28" s="73">
        <f t="shared" si="3"/>
        <v>172.24338857142857</v>
      </c>
      <c r="E28" s="38">
        <v>13</v>
      </c>
      <c r="F28" s="73">
        <f t="shared" si="4"/>
        <v>675.95856696333328</v>
      </c>
      <c r="G28" s="73">
        <f t="shared" si="1"/>
        <v>216.77991242514096</v>
      </c>
      <c r="I28" s="35"/>
      <c r="J28" s="19"/>
      <c r="K28" s="8"/>
      <c r="L28" s="112"/>
      <c r="M28" s="8"/>
      <c r="N28" s="8"/>
    </row>
    <row r="29" spans="1:14" x14ac:dyDescent="0.2">
      <c r="A29" s="38">
        <v>12</v>
      </c>
      <c r="B29" s="73">
        <f t="shared" si="2"/>
        <v>479.97045155199999</v>
      </c>
      <c r="C29" s="74">
        <f t="shared" si="0"/>
        <v>495.77142857142854</v>
      </c>
      <c r="D29" s="73">
        <f t="shared" si="3"/>
        <v>158.99389714285712</v>
      </c>
      <c r="E29" s="38">
        <v>12</v>
      </c>
      <c r="F29" s="73">
        <f t="shared" si="4"/>
        <v>623.96175412000002</v>
      </c>
      <c r="G29" s="73">
        <f t="shared" si="1"/>
        <v>200.10453454628399</v>
      </c>
      <c r="I29" s="233" t="s">
        <v>63</v>
      </c>
      <c r="J29" s="234"/>
      <c r="K29" s="234"/>
      <c r="L29" s="235"/>
      <c r="M29" s="8"/>
      <c r="N29" s="8"/>
    </row>
    <row r="30" spans="1:14" ht="15" thickBot="1" x14ac:dyDescent="0.25">
      <c r="A30" s="38">
        <v>11</v>
      </c>
      <c r="B30" s="73">
        <f t="shared" si="2"/>
        <v>439.97291392266675</v>
      </c>
      <c r="C30" s="74">
        <f t="shared" si="0"/>
        <v>454.45714285714286</v>
      </c>
      <c r="D30" s="73">
        <f t="shared" si="3"/>
        <v>145.7444057142857</v>
      </c>
      <c r="E30" s="38">
        <v>11</v>
      </c>
      <c r="F30" s="73">
        <f t="shared" si="4"/>
        <v>571.96494127666665</v>
      </c>
      <c r="G30" s="73">
        <f t="shared" si="1"/>
        <v>183.42915666742698</v>
      </c>
      <c r="I30" s="236"/>
      <c r="J30" s="237"/>
      <c r="K30" s="237"/>
      <c r="L30" s="238"/>
      <c r="M30" s="8"/>
      <c r="N30" s="8"/>
    </row>
    <row r="31" spans="1:14" ht="15" thickBot="1" x14ac:dyDescent="0.25">
      <c r="A31" s="38">
        <v>10</v>
      </c>
      <c r="B31" s="73">
        <f t="shared" si="2"/>
        <v>399.97537629333334</v>
      </c>
      <c r="C31" s="74">
        <f t="shared" si="0"/>
        <v>413.14285714285722</v>
      </c>
      <c r="D31" s="73">
        <f t="shared" si="3"/>
        <v>132.49491428571432</v>
      </c>
      <c r="E31" s="38">
        <v>10</v>
      </c>
      <c r="F31" s="73">
        <f t="shared" si="4"/>
        <v>519.96812843333328</v>
      </c>
      <c r="G31" s="73">
        <f t="shared" si="1"/>
        <v>166.75377878856997</v>
      </c>
      <c r="I31" s="134" t="s">
        <v>68</v>
      </c>
      <c r="J31" s="132" t="s">
        <v>53</v>
      </c>
      <c r="K31" s="130" t="s">
        <v>69</v>
      </c>
      <c r="L31" s="116" t="s">
        <v>55</v>
      </c>
      <c r="M31" s="8"/>
      <c r="N31" s="8"/>
    </row>
    <row r="32" spans="1:14" x14ac:dyDescent="0.2">
      <c r="A32" s="38">
        <v>9</v>
      </c>
      <c r="B32" s="73">
        <f t="shared" si="2"/>
        <v>359.97783866399999</v>
      </c>
      <c r="C32" s="74">
        <f t="shared" si="0"/>
        <v>371.82857142857148</v>
      </c>
      <c r="D32" s="73">
        <f t="shared" si="3"/>
        <v>119.24542285714287</v>
      </c>
      <c r="E32" s="38">
        <v>9</v>
      </c>
      <c r="F32" s="73">
        <f t="shared" si="4"/>
        <v>467.97131559000002</v>
      </c>
      <c r="G32" s="73">
        <f t="shared" si="1"/>
        <v>150.078400909713</v>
      </c>
      <c r="I32" s="258">
        <f>((L23/37.5*7.5*5)/7)*30*$C$43</f>
        <v>0</v>
      </c>
      <c r="J32" s="260">
        <f>IF(L26&lt;I32,I32,L26)</f>
        <v>0</v>
      </c>
      <c r="K32" s="262">
        <v>32.07</v>
      </c>
      <c r="L32" s="245">
        <f>J32*K32%</f>
        <v>0</v>
      </c>
      <c r="M32" s="8"/>
      <c r="N32" s="8"/>
    </row>
    <row r="33" spans="1:14" ht="15" thickBot="1" x14ac:dyDescent="0.25">
      <c r="A33" s="38">
        <v>8</v>
      </c>
      <c r="B33" s="73">
        <f t="shared" si="2"/>
        <v>319.9803010346667</v>
      </c>
      <c r="C33" s="74">
        <f t="shared" si="0"/>
        <v>330.51428571428573</v>
      </c>
      <c r="D33" s="73">
        <f t="shared" si="3"/>
        <v>105.99593142857142</v>
      </c>
      <c r="E33" s="38">
        <v>8</v>
      </c>
      <c r="F33" s="73">
        <f t="shared" si="4"/>
        <v>415.97450274666664</v>
      </c>
      <c r="G33" s="73">
        <f t="shared" si="1"/>
        <v>133.40302303085599</v>
      </c>
      <c r="I33" s="259"/>
      <c r="J33" s="261"/>
      <c r="K33" s="263"/>
      <c r="L33" s="264"/>
      <c r="M33" s="8"/>
      <c r="N33" s="8"/>
    </row>
    <row r="34" spans="1:14" ht="15" thickBot="1" x14ac:dyDescent="0.25">
      <c r="A34" s="38">
        <v>7</v>
      </c>
      <c r="B34" s="73">
        <f t="shared" si="2"/>
        <v>279.98276340533334</v>
      </c>
      <c r="C34" s="74">
        <f t="shared" si="0"/>
        <v>289.2000000000001</v>
      </c>
      <c r="D34" s="73">
        <f t="shared" si="3"/>
        <v>92.746440000000035</v>
      </c>
      <c r="E34" s="38">
        <v>7</v>
      </c>
      <c r="F34" s="73">
        <f t="shared" si="4"/>
        <v>363.97768990333333</v>
      </c>
      <c r="G34" s="73">
        <f t="shared" si="1"/>
        <v>116.727645151999</v>
      </c>
      <c r="I34" s="253" t="s">
        <v>64</v>
      </c>
      <c r="J34" s="254"/>
      <c r="K34" s="255"/>
      <c r="L34" s="127">
        <f>SUM(L32)</f>
        <v>0</v>
      </c>
      <c r="M34" s="8"/>
      <c r="N34" s="8"/>
    </row>
    <row r="35" spans="1:14" x14ac:dyDescent="0.2">
      <c r="A35" s="38">
        <v>6</v>
      </c>
      <c r="B35" s="73">
        <f t="shared" si="2"/>
        <v>239.98522577599999</v>
      </c>
      <c r="C35" s="74">
        <f t="shared" si="0"/>
        <v>247.88571428571427</v>
      </c>
      <c r="D35" s="73">
        <f t="shared" si="3"/>
        <v>79.496948571428561</v>
      </c>
      <c r="E35" s="38">
        <v>6</v>
      </c>
      <c r="F35" s="73">
        <f t="shared" si="4"/>
        <v>311.98087706000001</v>
      </c>
      <c r="G35" s="73">
        <f t="shared" si="1"/>
        <v>100.05226727314199</v>
      </c>
      <c r="I35" s="35"/>
      <c r="J35" s="19"/>
      <c r="K35" s="8"/>
      <c r="L35" s="112"/>
      <c r="M35" s="8"/>
      <c r="N35" s="133"/>
    </row>
    <row r="36" spans="1:14" x14ac:dyDescent="0.2">
      <c r="A36" s="38">
        <v>5</v>
      </c>
      <c r="B36" s="73">
        <f t="shared" si="2"/>
        <v>199.98768814666667</v>
      </c>
      <c r="C36" s="74">
        <f t="shared" si="0"/>
        <v>206.57142857142861</v>
      </c>
      <c r="D36" s="73">
        <f t="shared" si="3"/>
        <v>66.247457142857158</v>
      </c>
      <c r="E36" s="38">
        <v>5</v>
      </c>
      <c r="F36" s="73">
        <f t="shared" si="4"/>
        <v>259.98406421666664</v>
      </c>
      <c r="G36" s="73">
        <f t="shared" si="1"/>
        <v>83.376889394284987</v>
      </c>
      <c r="I36" s="256" t="s">
        <v>66</v>
      </c>
      <c r="J36" s="256"/>
      <c r="K36" s="256"/>
      <c r="L36" s="256"/>
      <c r="M36" s="257" t="s">
        <v>98</v>
      </c>
      <c r="N36" s="133"/>
    </row>
    <row r="37" spans="1:14" x14ac:dyDescent="0.2">
      <c r="A37" s="38">
        <v>4</v>
      </c>
      <c r="B37" s="73">
        <f t="shared" si="2"/>
        <v>159.99015051733335</v>
      </c>
      <c r="C37" s="74">
        <f t="shared" si="0"/>
        <v>165.25714285714287</v>
      </c>
      <c r="D37" s="73">
        <f t="shared" si="3"/>
        <v>52.997965714285712</v>
      </c>
      <c r="E37" s="38">
        <v>4</v>
      </c>
      <c r="F37" s="73">
        <f t="shared" si="4"/>
        <v>207.98725137333332</v>
      </c>
      <c r="G37" s="73">
        <f t="shared" si="1"/>
        <v>66.701511515427995</v>
      </c>
      <c r="I37" s="256"/>
      <c r="J37" s="256"/>
      <c r="K37" s="256"/>
      <c r="L37" s="256"/>
      <c r="M37" s="257"/>
      <c r="N37" s="133"/>
    </row>
    <row r="38" spans="1:14" x14ac:dyDescent="0.2">
      <c r="A38" s="38">
        <v>3</v>
      </c>
      <c r="B38" s="73">
        <f t="shared" si="2"/>
        <v>119.992612888</v>
      </c>
      <c r="C38" s="74">
        <f t="shared" si="0"/>
        <v>123.94285714285714</v>
      </c>
      <c r="D38" s="73">
        <f t="shared" si="3"/>
        <v>39.748474285714281</v>
      </c>
      <c r="E38" s="38">
        <v>3</v>
      </c>
      <c r="F38" s="73">
        <f t="shared" si="4"/>
        <v>155.99043853000001</v>
      </c>
      <c r="G38" s="73">
        <f t="shared" si="1"/>
        <v>50.026133636570997</v>
      </c>
      <c r="I38" s="5"/>
    </row>
    <row r="39" spans="1:14" x14ac:dyDescent="0.2">
      <c r="A39" s="38">
        <v>2</v>
      </c>
      <c r="B39" s="73">
        <f t="shared" si="2"/>
        <v>79.995075258666674</v>
      </c>
      <c r="C39" s="74">
        <f t="shared" si="0"/>
        <v>82.628571428571433</v>
      </c>
      <c r="D39" s="73">
        <f t="shared" si="3"/>
        <v>26.498982857142856</v>
      </c>
      <c r="E39" s="38">
        <v>2</v>
      </c>
      <c r="F39" s="73">
        <f t="shared" si="4"/>
        <v>103.99362568666666</v>
      </c>
      <c r="G39" s="73">
        <f t="shared" si="1"/>
        <v>33.350755757713998</v>
      </c>
      <c r="I39" s="5"/>
    </row>
    <row r="40" spans="1:14" x14ac:dyDescent="0.2">
      <c r="A40" s="39">
        <v>1</v>
      </c>
      <c r="B40" s="75">
        <f t="shared" si="2"/>
        <v>39.997537629333337</v>
      </c>
      <c r="C40" s="76">
        <f t="shared" si="0"/>
        <v>41.314285714285717</v>
      </c>
      <c r="D40" s="75">
        <f t="shared" si="3"/>
        <v>13.249491428571428</v>
      </c>
      <c r="E40" s="39">
        <v>1</v>
      </c>
      <c r="F40" s="75">
        <f t="shared" si="4"/>
        <v>51.996812843333331</v>
      </c>
      <c r="G40" s="75">
        <f t="shared" si="1"/>
        <v>16.675377878856999</v>
      </c>
      <c r="I40" s="5"/>
    </row>
    <row r="41" spans="1:14" hidden="1" x14ac:dyDescent="0.2"/>
    <row r="42" spans="1:14" ht="15" hidden="1" thickBot="1" x14ac:dyDescent="0.25">
      <c r="C42" s="208" t="s">
        <v>94</v>
      </c>
    </row>
    <row r="43" spans="1:14" s="21" customFormat="1" ht="41.25" hidden="1" customHeight="1" thickBot="1" x14ac:dyDescent="0.25">
      <c r="A43" s="187"/>
      <c r="B43" s="203" t="s">
        <v>15</v>
      </c>
      <c r="C43" s="204">
        <v>9.64</v>
      </c>
      <c r="D43" s="188"/>
      <c r="E43" s="189"/>
      <c r="F43" s="188"/>
      <c r="G43" s="188"/>
      <c r="I43" s="190"/>
    </row>
  </sheetData>
  <sheetProtection algorithmName="SHA-512" hashValue="fGdb3U4I5uAS8zeQEw6409eOV2p2KCxf2Ozhj92wCinDcax3gG/ulmcsMyUxalr47vLw/2JS/EhUDtV+2BfTlg==" saltValue="6Ic3mhzbD2SaEe9IaeSoRQ==" spinCount="100000" sheet="1" objects="1" scenarios="1"/>
  <protectedRanges>
    <protectedRange sqref="M36" name="CALCULO RC"/>
    <protectedRange sqref="L8" name="RET TC_1"/>
    <protectedRange sqref="L23" name="DED_1"/>
    <protectedRange sqref="L26" name="RET TP_2"/>
  </protectedRanges>
  <mergeCells count="35">
    <mergeCell ref="A1:G1"/>
    <mergeCell ref="B2:D2"/>
    <mergeCell ref="F2:G2"/>
    <mergeCell ref="I2:K2"/>
    <mergeCell ref="L2:M2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I34:K34"/>
    <mergeCell ref="I36:L37"/>
    <mergeCell ref="M36:M37"/>
    <mergeCell ref="I20:M21"/>
    <mergeCell ref="I29:L30"/>
    <mergeCell ref="I32:I33"/>
    <mergeCell ref="J32:J33"/>
    <mergeCell ref="K32:K33"/>
    <mergeCell ref="L32:L33"/>
    <mergeCell ref="I23:K24"/>
    <mergeCell ref="L23:L24"/>
    <mergeCell ref="I26:K27"/>
    <mergeCell ref="L26:L27"/>
  </mergeCells>
  <phoneticPr fontId="0" type="noConversion"/>
  <hyperlinks>
    <hyperlink ref="M36:M37" r:id="rId1" display="CALCULO RC E INDEMNIZACION" xr:uid="{00000000-0004-0000-05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Q43"/>
  <sheetViews>
    <sheetView topLeftCell="B1" zoomScaleNormal="100" workbookViewId="0">
      <selection activeCell="L24" sqref="L24"/>
    </sheetView>
  </sheetViews>
  <sheetFormatPr baseColWidth="10" defaultRowHeight="12.75" x14ac:dyDescent="0.2"/>
  <cols>
    <col min="1" max="1" width="25.28515625" style="1" bestFit="1" customWidth="1"/>
    <col min="2" max="2" width="33.28515625" style="83" customWidth="1"/>
    <col min="3" max="3" width="11.28515625" style="84" hidden="1" customWidth="1"/>
    <col min="4" max="4" width="31.28515625" style="83" customWidth="1"/>
    <col min="5" max="5" width="11.42578125" style="2" customWidth="1"/>
    <col min="6" max="6" width="21.28515625" style="2" customWidth="1"/>
    <col min="7" max="7" width="26" style="2" customWidth="1"/>
    <col min="8" max="8" width="24.140625" style="2" customWidth="1"/>
    <col min="9" max="9" width="16.28515625" style="2" bestFit="1" customWidth="1"/>
    <col min="10" max="10" width="15.28515625" style="2" bestFit="1" customWidth="1"/>
    <col min="11" max="173" width="11.42578125" style="2"/>
  </cols>
  <sheetData>
    <row r="1" spans="1:173" s="8" customFormat="1" ht="65.25" customHeight="1" x14ac:dyDescent="0.2">
      <c r="A1" s="217" t="s">
        <v>111</v>
      </c>
      <c r="B1" s="217"/>
      <c r="C1" s="217"/>
      <c r="D1" s="217"/>
      <c r="E1" s="17"/>
      <c r="F1" s="17"/>
      <c r="G1" s="17"/>
      <c r="H1" s="20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</row>
    <row r="2" spans="1:173" s="27" customFormat="1" ht="25.15" customHeight="1" x14ac:dyDescent="0.2">
      <c r="A2" s="77" t="s">
        <v>43</v>
      </c>
      <c r="B2" s="81" t="s">
        <v>44</v>
      </c>
      <c r="C2" s="82" t="s">
        <v>91</v>
      </c>
      <c r="D2" s="85" t="s">
        <v>106</v>
      </c>
      <c r="E2" s="80"/>
      <c r="F2" s="303" t="s">
        <v>48</v>
      </c>
      <c r="G2" s="304"/>
      <c r="H2" s="305"/>
      <c r="I2" s="303" t="s">
        <v>52</v>
      </c>
      <c r="J2" s="305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</row>
    <row r="3" spans="1:173" s="78" customFormat="1" ht="20.45" customHeight="1" x14ac:dyDescent="0.2">
      <c r="A3" s="37">
        <v>37.5</v>
      </c>
      <c r="B3" s="71">
        <f>PARAMETROS!B8</f>
        <v>2464.5581544655834</v>
      </c>
      <c r="C3" s="72"/>
      <c r="D3" s="73">
        <f>IF(B3&lt;C3,C3*$H$18%,B3*$H$18%)</f>
        <v>790.38380013711253</v>
      </c>
      <c r="E3" s="34"/>
      <c r="F3" s="121" t="s">
        <v>47</v>
      </c>
      <c r="G3" s="121" t="s">
        <v>58</v>
      </c>
      <c r="H3" s="121" t="s">
        <v>59</v>
      </c>
      <c r="I3" s="122" t="s">
        <v>50</v>
      </c>
      <c r="J3" s="121" t="s">
        <v>51</v>
      </c>
      <c r="K3" s="27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</row>
    <row r="4" spans="1:173" s="79" customFormat="1" ht="15" customHeight="1" x14ac:dyDescent="0.2">
      <c r="A4" s="38">
        <v>36</v>
      </c>
      <c r="B4" s="73">
        <f>PRODUCT(PARAMETROS!B$8,A4)/A$3</f>
        <v>2365.9758282869602</v>
      </c>
      <c r="C4" s="74">
        <f t="shared" ref="C4:C39" si="0">(A4/$A$3*7.5*5)/7*30*$C$43</f>
        <v>1283.6571428571431</v>
      </c>
      <c r="D4" s="73">
        <f>IF(B4&lt;C4,C4*$H$18%,B4*$H$18%)</f>
        <v>758.76844813162813</v>
      </c>
      <c r="E4" s="34"/>
      <c r="F4" s="306">
        <v>5</v>
      </c>
      <c r="G4" s="221">
        <v>1381.2</v>
      </c>
      <c r="H4" s="221">
        <v>4909.5</v>
      </c>
      <c r="I4" s="225">
        <v>1381.2</v>
      </c>
      <c r="J4" s="225">
        <v>4909.5</v>
      </c>
      <c r="K4" s="8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</row>
    <row r="5" spans="1:173" s="79" customFormat="1" ht="15" customHeight="1" x14ac:dyDescent="0.2">
      <c r="A5" s="38">
        <v>35</v>
      </c>
      <c r="B5" s="73">
        <f>PRODUCT(PARAMETROS!B$8,A5)/A$3</f>
        <v>2300.2542775012112</v>
      </c>
      <c r="C5" s="74">
        <f t="shared" si="0"/>
        <v>1248</v>
      </c>
      <c r="D5" s="73">
        <f t="shared" ref="D5:D39" si="1">IF(B5&lt;C5,C5*$H$18%,B5*$H$18%)</f>
        <v>737.69154679463838</v>
      </c>
      <c r="E5" s="34"/>
      <c r="F5" s="307"/>
      <c r="G5" s="222"/>
      <c r="H5" s="222"/>
      <c r="I5" s="226"/>
      <c r="J5" s="226"/>
      <c r="K5" s="8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</row>
    <row r="6" spans="1:173" s="79" customFormat="1" ht="15" customHeight="1" x14ac:dyDescent="0.2">
      <c r="A6" s="38">
        <v>34</v>
      </c>
      <c r="B6" s="73">
        <f>PRODUCT(PARAMETROS!B$8,A6)/A$3</f>
        <v>2234.5327267154626</v>
      </c>
      <c r="C6" s="74">
        <f t="shared" si="0"/>
        <v>1212.3428571428569</v>
      </c>
      <c r="D6" s="73">
        <f t="shared" si="1"/>
        <v>716.61464545764886</v>
      </c>
      <c r="E6" s="34"/>
      <c r="F6" s="35"/>
      <c r="G6" s="8"/>
      <c r="H6" s="8"/>
      <c r="I6" s="112"/>
      <c r="J6" s="8"/>
      <c r="K6" s="8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</row>
    <row r="7" spans="1:173" s="79" customFormat="1" ht="15" customHeight="1" thickBot="1" x14ac:dyDescent="0.25">
      <c r="A7" s="38">
        <v>33</v>
      </c>
      <c r="B7" s="73">
        <f>PRODUCT(PARAMETROS!B$8,A7)/A$3</f>
        <v>2168.8111759297135</v>
      </c>
      <c r="C7" s="74">
        <f t="shared" si="0"/>
        <v>1176.6857142857145</v>
      </c>
      <c r="D7" s="73">
        <f t="shared" si="1"/>
        <v>695.53774412065911</v>
      </c>
      <c r="E7" s="34"/>
      <c r="F7" s="35"/>
      <c r="G7" s="19"/>
      <c r="H7" s="8"/>
      <c r="I7" s="112"/>
      <c r="J7" s="8"/>
      <c r="K7" s="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</row>
    <row r="8" spans="1:173" s="79" customFormat="1" ht="15" customHeight="1" x14ac:dyDescent="0.2">
      <c r="A8" s="38">
        <v>32</v>
      </c>
      <c r="B8" s="73">
        <f>PRODUCT(PARAMETROS!B$8,A8)/A$3</f>
        <v>2103.0896251439644</v>
      </c>
      <c r="C8" s="74">
        <f t="shared" si="0"/>
        <v>1141.0285714285715</v>
      </c>
      <c r="D8" s="73">
        <f t="shared" si="1"/>
        <v>674.46084278366936</v>
      </c>
      <c r="E8" s="34"/>
      <c r="F8" s="231" t="s">
        <v>88</v>
      </c>
      <c r="G8" s="231"/>
      <c r="H8" s="232"/>
      <c r="I8" s="229"/>
      <c r="J8" s="8"/>
      <c r="K8" s="8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</row>
    <row r="9" spans="1:173" s="79" customFormat="1" ht="15" customHeight="1" thickBot="1" x14ac:dyDescent="0.25">
      <c r="A9" s="38">
        <v>31</v>
      </c>
      <c r="B9" s="73">
        <f>PRODUCT(PARAMETROS!B$8,A9)/A$3</f>
        <v>2037.3680743582154</v>
      </c>
      <c r="C9" s="74">
        <f t="shared" si="0"/>
        <v>1105.3714285714286</v>
      </c>
      <c r="D9" s="73">
        <f t="shared" si="1"/>
        <v>653.38394144667961</v>
      </c>
      <c r="E9" s="34"/>
      <c r="F9" s="231"/>
      <c r="G9" s="231"/>
      <c r="H9" s="232"/>
      <c r="I9" s="230"/>
      <c r="J9" s="8"/>
      <c r="K9" s="8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</row>
    <row r="10" spans="1:173" s="79" customFormat="1" ht="15" customHeight="1" thickBot="1" x14ac:dyDescent="0.25">
      <c r="A10" s="38">
        <v>30</v>
      </c>
      <c r="B10" s="73">
        <f>PRODUCT(PARAMETROS!B$8,A10)/A$3</f>
        <v>1971.6465235724665</v>
      </c>
      <c r="C10" s="74">
        <f t="shared" si="0"/>
        <v>1069.7142857142856</v>
      </c>
      <c r="D10" s="73">
        <f t="shared" si="1"/>
        <v>632.30704010968998</v>
      </c>
      <c r="E10" s="34"/>
      <c r="F10" s="117"/>
      <c r="G10" s="118"/>
      <c r="H10" s="119"/>
      <c r="I10" s="120"/>
      <c r="J10" s="8"/>
      <c r="K10" s="8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</row>
    <row r="11" spans="1:173" s="79" customFormat="1" ht="15" customHeight="1" x14ac:dyDescent="0.2">
      <c r="A11" s="38">
        <v>29</v>
      </c>
      <c r="B11" s="73">
        <f>PRODUCT(PARAMETROS!B$8,A11)/A$3</f>
        <v>1905.9249727867179</v>
      </c>
      <c r="C11" s="74">
        <f t="shared" si="0"/>
        <v>1034.0571428571429</v>
      </c>
      <c r="D11" s="73">
        <f t="shared" si="1"/>
        <v>611.23013877270046</v>
      </c>
      <c r="E11" s="34"/>
      <c r="F11" s="233" t="s">
        <v>60</v>
      </c>
      <c r="G11" s="234"/>
      <c r="H11" s="234"/>
      <c r="I11" s="235"/>
      <c r="J11" s="8"/>
      <c r="K11" s="8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</row>
    <row r="12" spans="1:173" s="79" customFormat="1" ht="15" customHeight="1" thickBot="1" x14ac:dyDescent="0.25">
      <c r="A12" s="38">
        <v>28</v>
      </c>
      <c r="B12" s="73">
        <f>PRODUCT(PARAMETROS!B$8,A12)/A$3</f>
        <v>1840.2034220009689</v>
      </c>
      <c r="C12" s="74">
        <f t="shared" si="0"/>
        <v>998.40000000000032</v>
      </c>
      <c r="D12" s="73">
        <f t="shared" si="1"/>
        <v>590.15323743571071</v>
      </c>
      <c r="E12" s="34"/>
      <c r="F12" s="236"/>
      <c r="G12" s="237"/>
      <c r="H12" s="237"/>
      <c r="I12" s="238"/>
      <c r="J12" s="8"/>
      <c r="K12" s="8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</row>
    <row r="13" spans="1:173" s="79" customFormat="1" ht="15" customHeight="1" thickBot="1" x14ac:dyDescent="0.25">
      <c r="A13" s="38">
        <v>27</v>
      </c>
      <c r="B13" s="73">
        <f>PRODUCT(PARAMETROS!B$8,A13)/A$3</f>
        <v>1774.4818712152198</v>
      </c>
      <c r="C13" s="74">
        <f t="shared" si="0"/>
        <v>962.74285714285713</v>
      </c>
      <c r="D13" s="73">
        <f t="shared" si="1"/>
        <v>569.07633609872096</v>
      </c>
      <c r="E13" s="34"/>
      <c r="F13" s="114"/>
      <c r="G13" s="132" t="s">
        <v>53</v>
      </c>
      <c r="H13" s="130" t="s">
        <v>54</v>
      </c>
      <c r="I13" s="139" t="s">
        <v>55</v>
      </c>
      <c r="J13" s="8"/>
      <c r="K13" s="8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</row>
    <row r="14" spans="1:173" s="79" customFormat="1" ht="15" customHeight="1" x14ac:dyDescent="0.2">
      <c r="A14" s="38">
        <v>26</v>
      </c>
      <c r="B14" s="73">
        <f>PRODUCT(PARAMETROS!B$8,A14)/A$3</f>
        <v>1708.7603204294712</v>
      </c>
      <c r="C14" s="74">
        <f t="shared" si="0"/>
        <v>927.08571428571429</v>
      </c>
      <c r="D14" s="73">
        <f t="shared" si="1"/>
        <v>547.99943476173144</v>
      </c>
      <c r="E14" s="34"/>
      <c r="F14" s="247" t="s">
        <v>56</v>
      </c>
      <c r="G14" s="241">
        <f>IF(I8&gt;=G4,I8,G4)</f>
        <v>1381.2</v>
      </c>
      <c r="H14" s="262">
        <v>24.27</v>
      </c>
      <c r="I14" s="245">
        <f>G14*H14%</f>
        <v>335.21724</v>
      </c>
      <c r="J14" s="8"/>
      <c r="K14" s="8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</row>
    <row r="15" spans="1:173" s="79" customFormat="1" ht="15" customHeight="1" thickBot="1" x14ac:dyDescent="0.25">
      <c r="A15" s="38">
        <v>25</v>
      </c>
      <c r="B15" s="73">
        <f>PRODUCT(PARAMETROS!B$8,A15)/A$3</f>
        <v>1643.0387696437224</v>
      </c>
      <c r="C15" s="74">
        <f t="shared" si="0"/>
        <v>891.42857142857156</v>
      </c>
      <c r="D15" s="73">
        <f t="shared" si="1"/>
        <v>526.9225334247418</v>
      </c>
      <c r="E15" s="34"/>
      <c r="F15" s="248"/>
      <c r="G15" s="242"/>
      <c r="H15" s="263"/>
      <c r="I15" s="264"/>
      <c r="J15" s="8"/>
      <c r="K15" s="8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</row>
    <row r="16" spans="1:173" s="79" customFormat="1" ht="15" customHeight="1" x14ac:dyDescent="0.2">
      <c r="A16" s="38">
        <v>24</v>
      </c>
      <c r="B16" s="73">
        <f>PRODUCT(PARAMETROS!B$8,A16)/A$3</f>
        <v>1577.3172188579733</v>
      </c>
      <c r="C16" s="74">
        <f t="shared" si="0"/>
        <v>855.77142857142849</v>
      </c>
      <c r="D16" s="73">
        <f t="shared" si="1"/>
        <v>505.84563208775205</v>
      </c>
      <c r="E16" s="34"/>
      <c r="F16" s="247" t="s">
        <v>57</v>
      </c>
      <c r="G16" s="241">
        <f>IF(I8&gt;=I4,I8,I4)</f>
        <v>1381.2</v>
      </c>
      <c r="H16" s="262">
        <v>7.8</v>
      </c>
      <c r="I16" s="245">
        <f>G16*H16%</f>
        <v>107.73360000000001</v>
      </c>
      <c r="J16" s="8"/>
      <c r="K16" s="8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</row>
    <row r="17" spans="1:173" s="79" customFormat="1" ht="15" customHeight="1" thickBot="1" x14ac:dyDescent="0.25">
      <c r="A17" s="38">
        <v>23</v>
      </c>
      <c r="B17" s="73">
        <f>PRODUCT(PARAMETROS!B$8,A17)/A$3</f>
        <v>1511.5956680722243</v>
      </c>
      <c r="C17" s="74">
        <f t="shared" si="0"/>
        <v>820.11428571428576</v>
      </c>
      <c r="D17" s="73">
        <f t="shared" si="1"/>
        <v>484.7687307507623</v>
      </c>
      <c r="E17" s="34"/>
      <c r="F17" s="248"/>
      <c r="G17" s="242"/>
      <c r="H17" s="263"/>
      <c r="I17" s="264"/>
      <c r="J17" s="8"/>
      <c r="K17" s="8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</row>
    <row r="18" spans="1:173" s="79" customFormat="1" ht="15" customHeight="1" thickBot="1" x14ac:dyDescent="0.25">
      <c r="A18" s="38">
        <v>22</v>
      </c>
      <c r="B18" s="73">
        <f>PRODUCT(PARAMETROS!B$8,A18)/A$3</f>
        <v>1445.8741172864757</v>
      </c>
      <c r="C18" s="74">
        <f t="shared" si="0"/>
        <v>784.4571428571428</v>
      </c>
      <c r="D18" s="73">
        <f t="shared" si="1"/>
        <v>463.69182941377272</v>
      </c>
      <c r="E18" s="34"/>
      <c r="F18" s="227" t="s">
        <v>61</v>
      </c>
      <c r="G18" s="228"/>
      <c r="H18" s="131">
        <f>(H14+H16)</f>
        <v>32.07</v>
      </c>
      <c r="I18" s="127">
        <f>SUM(I14:I17)</f>
        <v>442.95084000000003</v>
      </c>
      <c r="J18" s="8"/>
      <c r="K18" s="8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</row>
    <row r="19" spans="1:173" s="79" customFormat="1" ht="15" customHeight="1" x14ac:dyDescent="0.2">
      <c r="A19" s="38">
        <v>21</v>
      </c>
      <c r="B19" s="73">
        <f>PRODUCT(PARAMETROS!B$8,A19)/A$3</f>
        <v>1380.1525665007268</v>
      </c>
      <c r="C19" s="74">
        <f t="shared" si="0"/>
        <v>748.80000000000007</v>
      </c>
      <c r="D19" s="73">
        <f t="shared" si="1"/>
        <v>442.61492807678309</v>
      </c>
      <c r="E19" s="34"/>
      <c r="F19" s="123"/>
      <c r="G19" s="124"/>
      <c r="H19" s="125"/>
      <c r="I19" s="126"/>
      <c r="J19" s="8"/>
      <c r="K19" s="8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</row>
    <row r="20" spans="1:173" s="79" customFormat="1" ht="15" customHeight="1" x14ac:dyDescent="0.2">
      <c r="A20" s="38">
        <v>20</v>
      </c>
      <c r="B20" s="73">
        <f>PRODUCT(PARAMETROS!B$8,A20)/A$3</f>
        <v>1314.4310157149778</v>
      </c>
      <c r="C20" s="74">
        <f t="shared" si="0"/>
        <v>713.14285714285722</v>
      </c>
      <c r="D20" s="73">
        <f t="shared" si="1"/>
        <v>421.53802673979334</v>
      </c>
      <c r="E20" s="34"/>
      <c r="F20" s="216" t="s">
        <v>75</v>
      </c>
      <c r="G20" s="216"/>
      <c r="H20" s="216"/>
      <c r="I20" s="216"/>
      <c r="J20" s="216"/>
      <c r="K20" s="14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</row>
    <row r="21" spans="1:173" s="79" customFormat="1" ht="15" customHeight="1" x14ac:dyDescent="0.2">
      <c r="A21" s="38">
        <v>19</v>
      </c>
      <c r="B21" s="73">
        <f>PRODUCT(PARAMETROS!B$8,A21)/A$3</f>
        <v>1248.7094649292287</v>
      </c>
      <c r="C21" s="74">
        <f t="shared" si="0"/>
        <v>677.48571428571438</v>
      </c>
      <c r="D21" s="73">
        <f t="shared" si="1"/>
        <v>400.46112540280365</v>
      </c>
      <c r="E21" s="34"/>
      <c r="F21" s="216"/>
      <c r="G21" s="216"/>
      <c r="H21" s="216"/>
      <c r="I21" s="216"/>
      <c r="J21" s="216"/>
      <c r="K21" s="14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</row>
    <row r="22" spans="1:173" s="79" customFormat="1" ht="15" customHeight="1" thickBot="1" x14ac:dyDescent="0.25">
      <c r="A22" s="38">
        <v>18</v>
      </c>
      <c r="B22" s="73">
        <f>PRODUCT(PARAMETROS!B$8,A22)/A$3</f>
        <v>1182.9879141434801</v>
      </c>
      <c r="C22" s="74">
        <f t="shared" si="0"/>
        <v>641.82857142857154</v>
      </c>
      <c r="D22" s="73">
        <f t="shared" si="1"/>
        <v>379.38422406581407</v>
      </c>
      <c r="E22" s="34"/>
      <c r="F22" s="35"/>
      <c r="G22" s="19"/>
      <c r="H22" s="8"/>
      <c r="I22" s="112"/>
      <c r="J22" s="8"/>
      <c r="K22" s="8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</row>
    <row r="23" spans="1:173" s="79" customFormat="1" ht="15" customHeight="1" x14ac:dyDescent="0.2">
      <c r="A23" s="38">
        <v>17</v>
      </c>
      <c r="B23" s="73">
        <f>PRODUCT(PARAMETROS!B$8,A23)/A$3</f>
        <v>1117.2663633577313</v>
      </c>
      <c r="C23" s="74">
        <f t="shared" si="0"/>
        <v>606.17142857142846</v>
      </c>
      <c r="D23" s="73">
        <f t="shared" si="1"/>
        <v>358.30732272882443</v>
      </c>
      <c r="E23" s="34"/>
      <c r="F23" s="231" t="s">
        <v>62</v>
      </c>
      <c r="G23" s="231"/>
      <c r="H23" s="232"/>
      <c r="I23" s="251">
        <v>0</v>
      </c>
      <c r="J23" s="8"/>
      <c r="K23" s="8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</row>
    <row r="24" spans="1:173" s="79" customFormat="1" ht="15" customHeight="1" thickBot="1" x14ac:dyDescent="0.25">
      <c r="A24" s="38">
        <v>16</v>
      </c>
      <c r="B24" s="73">
        <f>PRODUCT(PARAMETROS!B$8,A24)/A$3</f>
        <v>1051.5448125719822</v>
      </c>
      <c r="C24" s="74">
        <f t="shared" si="0"/>
        <v>570.51428571428573</v>
      </c>
      <c r="D24" s="73">
        <f t="shared" si="1"/>
        <v>337.23042139183468</v>
      </c>
      <c r="E24" s="34"/>
      <c r="F24" s="231"/>
      <c r="G24" s="231"/>
      <c r="H24" s="232"/>
      <c r="I24" s="252"/>
      <c r="J24" s="8"/>
      <c r="K24" s="8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</row>
    <row r="25" spans="1:173" s="79" customFormat="1" ht="15" customHeight="1" thickBot="1" x14ac:dyDescent="0.25">
      <c r="A25" s="38">
        <v>15</v>
      </c>
      <c r="B25" s="73">
        <f>PRODUCT(PARAMETROS!B$8,A25)/A$3</f>
        <v>985.82326178623327</v>
      </c>
      <c r="C25" s="74">
        <f t="shared" si="0"/>
        <v>534.85714285714278</v>
      </c>
      <c r="D25" s="73">
        <f t="shared" si="1"/>
        <v>316.15352005484499</v>
      </c>
      <c r="E25" s="34"/>
      <c r="F25" s="35"/>
      <c r="G25" s="19"/>
      <c r="H25" s="8"/>
      <c r="I25" s="112"/>
      <c r="J25" s="8"/>
      <c r="K25" s="8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</row>
    <row r="26" spans="1:173" s="79" customFormat="1" ht="15" customHeight="1" x14ac:dyDescent="0.2">
      <c r="A26" s="38">
        <v>14</v>
      </c>
      <c r="B26" s="73">
        <f>PRODUCT(PARAMETROS!B$8,A26)/A$3</f>
        <v>920.10171100048444</v>
      </c>
      <c r="C26" s="74">
        <f t="shared" si="0"/>
        <v>499.20000000000016</v>
      </c>
      <c r="D26" s="73">
        <f t="shared" si="1"/>
        <v>295.07661871785535</v>
      </c>
      <c r="E26" s="34"/>
      <c r="F26" s="231" t="s">
        <v>67</v>
      </c>
      <c r="G26" s="231"/>
      <c r="H26" s="232"/>
      <c r="I26" s="229">
        <v>0</v>
      </c>
      <c r="J26" s="8"/>
      <c r="K26" s="8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</row>
    <row r="27" spans="1:173" s="79" customFormat="1" ht="15" customHeight="1" thickBot="1" x14ac:dyDescent="0.25">
      <c r="A27" s="38">
        <v>13</v>
      </c>
      <c r="B27" s="73">
        <f>PRODUCT(PARAMETROS!B$8,A27)/A$3</f>
        <v>854.38016021473561</v>
      </c>
      <c r="C27" s="74">
        <f t="shared" si="0"/>
        <v>463.54285714285714</v>
      </c>
      <c r="D27" s="73">
        <f t="shared" si="1"/>
        <v>273.99971738086572</v>
      </c>
      <c r="E27" s="34"/>
      <c r="F27" s="231"/>
      <c r="G27" s="231"/>
      <c r="H27" s="232"/>
      <c r="I27" s="230"/>
      <c r="J27" s="8"/>
      <c r="K27" s="8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</row>
    <row r="28" spans="1:173" s="79" customFormat="1" ht="15" customHeight="1" thickBot="1" x14ac:dyDescent="0.25">
      <c r="A28" s="38">
        <v>12</v>
      </c>
      <c r="B28" s="73">
        <f>PRODUCT(PARAMETROS!B$8,A28)/A$3</f>
        <v>788.65860942898667</v>
      </c>
      <c r="C28" s="74">
        <f t="shared" si="0"/>
        <v>427.88571428571424</v>
      </c>
      <c r="D28" s="73">
        <f t="shared" si="1"/>
        <v>252.92281604387603</v>
      </c>
      <c r="E28" s="34"/>
      <c r="F28" s="35"/>
      <c r="G28" s="19"/>
      <c r="H28" s="8"/>
      <c r="I28" s="112"/>
      <c r="J28" s="8"/>
      <c r="K28" s="8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</row>
    <row r="29" spans="1:173" s="79" customFormat="1" ht="15" customHeight="1" x14ac:dyDescent="0.2">
      <c r="A29" s="38">
        <v>11</v>
      </c>
      <c r="B29" s="73">
        <f>PRODUCT(PARAMETROS!B$8,A29)/A$3</f>
        <v>722.93705864323783</v>
      </c>
      <c r="C29" s="74">
        <f t="shared" si="0"/>
        <v>392.2285714285714</v>
      </c>
      <c r="D29" s="73">
        <f t="shared" si="1"/>
        <v>231.84591470688636</v>
      </c>
      <c r="E29" s="34"/>
      <c r="F29" s="233" t="s">
        <v>63</v>
      </c>
      <c r="G29" s="234"/>
      <c r="H29" s="234"/>
      <c r="I29" s="235"/>
      <c r="J29" s="8"/>
      <c r="K29" s="8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</row>
    <row r="30" spans="1:173" s="79" customFormat="1" ht="15" customHeight="1" thickBot="1" x14ac:dyDescent="0.25">
      <c r="A30" s="38">
        <v>10</v>
      </c>
      <c r="B30" s="73">
        <f>PRODUCT(PARAMETROS!B$8,A30)/A$3</f>
        <v>657.21550785748889</v>
      </c>
      <c r="C30" s="74">
        <f t="shared" si="0"/>
        <v>356.57142857142861</v>
      </c>
      <c r="D30" s="73">
        <f t="shared" si="1"/>
        <v>210.76901336989667</v>
      </c>
      <c r="E30" s="34"/>
      <c r="F30" s="236"/>
      <c r="G30" s="237"/>
      <c r="H30" s="237"/>
      <c r="I30" s="238"/>
      <c r="J30" s="8"/>
      <c r="K30" s="8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</row>
    <row r="31" spans="1:173" s="79" customFormat="1" ht="15" customHeight="1" thickBot="1" x14ac:dyDescent="0.25">
      <c r="A31" s="38">
        <v>9</v>
      </c>
      <c r="B31" s="73">
        <f>PRODUCT(PARAMETROS!B$8,A31)/A$3</f>
        <v>591.49395707174006</v>
      </c>
      <c r="C31" s="74">
        <f t="shared" si="0"/>
        <v>320.91428571428577</v>
      </c>
      <c r="D31" s="73">
        <f t="shared" si="1"/>
        <v>189.69211203290703</v>
      </c>
      <c r="E31" s="34"/>
      <c r="F31" s="134" t="s">
        <v>68</v>
      </c>
      <c r="G31" s="132" t="s">
        <v>53</v>
      </c>
      <c r="H31" s="130" t="s">
        <v>69</v>
      </c>
      <c r="I31" s="116" t="s">
        <v>55</v>
      </c>
      <c r="J31" s="8"/>
      <c r="K31" s="8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</row>
    <row r="32" spans="1:173" s="79" customFormat="1" ht="15" customHeight="1" x14ac:dyDescent="0.2">
      <c r="A32" s="38">
        <v>8</v>
      </c>
      <c r="B32" s="73">
        <f>PRODUCT(PARAMETROS!B$8,A32)/A$3</f>
        <v>525.77240628599111</v>
      </c>
      <c r="C32" s="74">
        <f t="shared" si="0"/>
        <v>285.25714285714287</v>
      </c>
      <c r="D32" s="73">
        <f t="shared" si="1"/>
        <v>168.61521069591734</v>
      </c>
      <c r="E32" s="34"/>
      <c r="F32" s="302">
        <f>((I23/37.5*7.5*5)/7)*30*$C$43</f>
        <v>0</v>
      </c>
      <c r="G32" s="260">
        <f>IF(I26&lt;F32,F32,I26)</f>
        <v>0</v>
      </c>
      <c r="H32" s="262">
        <v>32.07</v>
      </c>
      <c r="I32" s="245">
        <f>G32*H32%</f>
        <v>0</v>
      </c>
      <c r="J32" s="8"/>
      <c r="K32" s="8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</row>
    <row r="33" spans="1:173" s="79" customFormat="1" ht="15" customHeight="1" thickBot="1" x14ac:dyDescent="0.25">
      <c r="A33" s="38">
        <v>7</v>
      </c>
      <c r="B33" s="73">
        <f>PRODUCT(PARAMETROS!B$8,A33)/A$3</f>
        <v>460.05085550024222</v>
      </c>
      <c r="C33" s="74">
        <f t="shared" si="0"/>
        <v>249.60000000000008</v>
      </c>
      <c r="D33" s="73">
        <f t="shared" si="1"/>
        <v>147.53830935892768</v>
      </c>
      <c r="E33" s="34"/>
      <c r="F33" s="259"/>
      <c r="G33" s="261"/>
      <c r="H33" s="263"/>
      <c r="I33" s="264"/>
      <c r="J33" s="8"/>
      <c r="K33" s="8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</row>
    <row r="34" spans="1:173" s="79" customFormat="1" ht="15" customHeight="1" thickBot="1" x14ac:dyDescent="0.25">
      <c r="A34" s="38">
        <v>6</v>
      </c>
      <c r="B34" s="73">
        <f>PRODUCT(PARAMETROS!B$8,A34)/A$3</f>
        <v>394.32930471449333</v>
      </c>
      <c r="C34" s="74">
        <f t="shared" si="0"/>
        <v>213.94285714285712</v>
      </c>
      <c r="D34" s="73">
        <f t="shared" si="1"/>
        <v>126.46140802193801</v>
      </c>
      <c r="E34" s="34"/>
      <c r="F34" s="253" t="s">
        <v>64</v>
      </c>
      <c r="G34" s="254"/>
      <c r="H34" s="255"/>
      <c r="I34" s="127">
        <f>SUM(I32)</f>
        <v>0</v>
      </c>
      <c r="J34" s="8"/>
      <c r="K34" s="8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</row>
    <row r="35" spans="1:173" s="79" customFormat="1" ht="15" customHeight="1" x14ac:dyDescent="0.2">
      <c r="A35" s="38">
        <v>5</v>
      </c>
      <c r="B35" s="73">
        <f>PRODUCT(PARAMETROS!B$8,A35)/A$3</f>
        <v>328.60775392874444</v>
      </c>
      <c r="C35" s="74">
        <f t="shared" si="0"/>
        <v>178.28571428571431</v>
      </c>
      <c r="D35" s="73">
        <f t="shared" si="1"/>
        <v>105.38450668494833</v>
      </c>
      <c r="E35" s="34"/>
      <c r="F35" s="35"/>
      <c r="G35" s="19"/>
      <c r="H35" s="8"/>
      <c r="I35" s="112"/>
      <c r="J35" s="8"/>
      <c r="K35" s="133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</row>
    <row r="36" spans="1:173" s="79" customFormat="1" ht="15" customHeight="1" x14ac:dyDescent="0.2">
      <c r="A36" s="38">
        <v>4</v>
      </c>
      <c r="B36" s="73">
        <f>PRODUCT(PARAMETROS!B$8,A36)/A$3</f>
        <v>262.88620314299556</v>
      </c>
      <c r="C36" s="74">
        <f t="shared" si="0"/>
        <v>142.62857142857143</v>
      </c>
      <c r="D36" s="73">
        <f t="shared" si="1"/>
        <v>84.30760534795867</v>
      </c>
      <c r="E36" s="34"/>
      <c r="F36" s="276" t="s">
        <v>66</v>
      </c>
      <c r="G36" s="276"/>
      <c r="H36" s="276"/>
      <c r="I36" s="257" t="s">
        <v>98</v>
      </c>
      <c r="J36" s="34"/>
      <c r="K36" s="133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</row>
    <row r="37" spans="1:173" s="79" customFormat="1" ht="15" customHeight="1" x14ac:dyDescent="0.2">
      <c r="A37" s="38">
        <v>3</v>
      </c>
      <c r="B37" s="73">
        <f>PRODUCT(PARAMETROS!B$8,A37)/A$3</f>
        <v>197.16465235724667</v>
      </c>
      <c r="C37" s="74">
        <f t="shared" si="0"/>
        <v>106.97142857142856</v>
      </c>
      <c r="D37" s="73">
        <f t="shared" si="1"/>
        <v>63.230704010969006</v>
      </c>
      <c r="E37" s="34"/>
      <c r="F37" s="276"/>
      <c r="G37" s="276"/>
      <c r="H37" s="276"/>
      <c r="I37" s="257"/>
      <c r="J37" s="34"/>
      <c r="K37" s="13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</row>
    <row r="38" spans="1:173" s="79" customFormat="1" ht="15" customHeight="1" x14ac:dyDescent="0.2">
      <c r="A38" s="38">
        <v>2</v>
      </c>
      <c r="B38" s="73">
        <f>PRODUCT(PARAMETROS!B$8,A38)/A$3</f>
        <v>131.44310157149778</v>
      </c>
      <c r="C38" s="74">
        <f t="shared" si="0"/>
        <v>71.314285714285717</v>
      </c>
      <c r="D38" s="73">
        <f t="shared" si="1"/>
        <v>42.153802673979335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</row>
    <row r="39" spans="1:173" s="79" customFormat="1" ht="15" customHeight="1" x14ac:dyDescent="0.2">
      <c r="A39" s="39">
        <v>1</v>
      </c>
      <c r="B39" s="75">
        <f>PRODUCT(PARAMETROS!B$8,A39)/A$3</f>
        <v>65.721550785748889</v>
      </c>
      <c r="C39" s="76">
        <f t="shared" si="0"/>
        <v>35.657142857142858</v>
      </c>
      <c r="D39" s="75">
        <f t="shared" si="1"/>
        <v>21.076901336989668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</row>
    <row r="40" spans="1:173" hidden="1" x14ac:dyDescent="0.2"/>
    <row r="41" spans="1:173" hidden="1" x14ac:dyDescent="0.2">
      <c r="C41" s="208" t="s">
        <v>94</v>
      </c>
    </row>
    <row r="42" spans="1:173" ht="13.5" hidden="1" thickBot="1" x14ac:dyDescent="0.25"/>
    <row r="43" spans="1:173" s="8" customFormat="1" ht="26.25" hidden="1" thickBot="1" x14ac:dyDescent="0.25">
      <c r="A43" s="33"/>
      <c r="B43" s="203" t="s">
        <v>33</v>
      </c>
      <c r="C43" s="204">
        <v>8.32</v>
      </c>
      <c r="D43" s="106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</row>
  </sheetData>
  <sheetProtection algorithmName="SHA-512" hashValue="u64t3TIW8PHXHjU/ROTKO/A/uV5fr9pDVyqS5KzTQdMnYo5mqTXUO41SkABnOPWl0EFSqrkftJ4jtTQ+K7p0aA==" saltValue="L1nc0Djm7UMLOc1WKWC41Q==" spinCount="100000" sheet="1" objects="1" scenarios="1"/>
  <protectedRanges>
    <protectedRange sqref="I36" name="CALCULO RC"/>
    <protectedRange sqref="I8" name="RET TC_1"/>
    <protectedRange sqref="I23" name="DED_1"/>
    <protectedRange sqref="I26" name="RET TP_1"/>
  </protectedRanges>
  <mergeCells count="33">
    <mergeCell ref="A1:D1"/>
    <mergeCell ref="F2:H2"/>
    <mergeCell ref="I2:J2"/>
    <mergeCell ref="F4:F5"/>
    <mergeCell ref="G4:G5"/>
    <mergeCell ref="H4:H5"/>
    <mergeCell ref="I4:I5"/>
    <mergeCell ref="J4:J5"/>
    <mergeCell ref="F8:H9"/>
    <mergeCell ref="I8:I9"/>
    <mergeCell ref="F11:I12"/>
    <mergeCell ref="F14:F15"/>
    <mergeCell ref="G14:G15"/>
    <mergeCell ref="H14:H15"/>
    <mergeCell ref="I14:I15"/>
    <mergeCell ref="F16:F17"/>
    <mergeCell ref="G16:G17"/>
    <mergeCell ref="H16:H17"/>
    <mergeCell ref="I16:I17"/>
    <mergeCell ref="F18:G18"/>
    <mergeCell ref="F20:J21"/>
    <mergeCell ref="F36:H37"/>
    <mergeCell ref="F34:H34"/>
    <mergeCell ref="I36:I37"/>
    <mergeCell ref="F29:I30"/>
    <mergeCell ref="F32:F33"/>
    <mergeCell ref="G32:G33"/>
    <mergeCell ref="H32:H33"/>
    <mergeCell ref="I32:I33"/>
    <mergeCell ref="F23:H24"/>
    <mergeCell ref="I23:I24"/>
    <mergeCell ref="F26:H27"/>
    <mergeCell ref="I26:I27"/>
  </mergeCells>
  <phoneticPr fontId="0" type="noConversion"/>
  <hyperlinks>
    <hyperlink ref="I36:I37" r:id="rId1" display="CALCULO RC E INDEMNIZACION" xr:uid="{00000000-0004-0000-0600-000000000000}"/>
  </hyperlinks>
  <printOptions horizontalCentered="1"/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N44"/>
  <sheetViews>
    <sheetView topLeftCell="B1" zoomScaleNormal="100" workbookViewId="0">
      <selection activeCell="J31" sqref="J31"/>
    </sheetView>
  </sheetViews>
  <sheetFormatPr baseColWidth="10" defaultRowHeight="12.75" x14ac:dyDescent="0.2"/>
  <cols>
    <col min="1" max="1" width="25.28515625" style="1" bestFit="1" customWidth="1"/>
    <col min="2" max="2" width="35.7109375" style="1" customWidth="1"/>
    <col min="3" max="3" width="8.85546875" style="3" hidden="1" customWidth="1"/>
    <col min="4" max="4" width="32.7109375" style="1" customWidth="1"/>
    <col min="5" max="5" width="13.42578125" customWidth="1"/>
    <col min="6" max="6" width="20.28515625" customWidth="1"/>
    <col min="7" max="7" width="26.42578125" bestFit="1" customWidth="1"/>
    <col min="8" max="8" width="26.7109375" customWidth="1"/>
    <col min="9" max="9" width="17" customWidth="1"/>
    <col min="10" max="10" width="15.28515625" bestFit="1" customWidth="1"/>
  </cols>
  <sheetData>
    <row r="1" spans="1:170" s="8" customFormat="1" ht="65.25" customHeight="1" x14ac:dyDescent="0.2">
      <c r="A1" s="217" t="s">
        <v>112</v>
      </c>
      <c r="B1" s="217"/>
      <c r="C1" s="217"/>
      <c r="D1" s="217"/>
      <c r="E1" s="2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</row>
    <row r="2" spans="1:170" s="27" customFormat="1" ht="25.5" x14ac:dyDescent="0.2">
      <c r="A2" s="40" t="s">
        <v>43</v>
      </c>
      <c r="B2" s="65" t="s">
        <v>44</v>
      </c>
      <c r="C2" s="86" t="s">
        <v>92</v>
      </c>
      <c r="D2" s="67" t="s">
        <v>106</v>
      </c>
      <c r="E2" s="17"/>
      <c r="F2" s="303" t="s">
        <v>48</v>
      </c>
      <c r="G2" s="304"/>
      <c r="H2" s="305"/>
      <c r="I2" s="303" t="s">
        <v>52</v>
      </c>
      <c r="J2" s="305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</row>
    <row r="3" spans="1:170" ht="15" customHeight="1" x14ac:dyDescent="0.2">
      <c r="A3" s="37">
        <v>37.5</v>
      </c>
      <c r="B3" s="71">
        <f>PARAMETROS!B9</f>
        <v>2116.6066838563961</v>
      </c>
      <c r="C3" s="72"/>
      <c r="D3" s="73">
        <f>IF(B3&lt;C3,C3*$H$18%,B3*$H$18%)</f>
        <v>678.79576351274625</v>
      </c>
      <c r="F3" s="121" t="s">
        <v>47</v>
      </c>
      <c r="G3" s="121" t="s">
        <v>58</v>
      </c>
      <c r="H3" s="121" t="s">
        <v>59</v>
      </c>
      <c r="I3" s="122" t="s">
        <v>50</v>
      </c>
      <c r="J3" s="121" t="s">
        <v>51</v>
      </c>
      <c r="K3" s="27"/>
    </row>
    <row r="4" spans="1:170" ht="15" customHeight="1" x14ac:dyDescent="0.2">
      <c r="A4" s="38">
        <v>36</v>
      </c>
      <c r="B4" s="73">
        <f>PRODUCT(B$3,A4)/A$3</f>
        <v>2031.9424165021403</v>
      </c>
      <c r="C4" s="74">
        <f t="shared" ref="C4:C39" si="0">(A4/$A$3*7.5*5)/7*30*$C$43</f>
        <v>1283.6571428571431</v>
      </c>
      <c r="D4" s="73">
        <f>IF(B4&lt;C4,C4*$H$18%,B4*$H$18%)</f>
        <v>651.64393297223637</v>
      </c>
      <c r="F4" s="306">
        <v>7</v>
      </c>
      <c r="G4" s="221">
        <v>1381.2</v>
      </c>
      <c r="H4" s="221">
        <v>4909.5</v>
      </c>
      <c r="I4" s="225">
        <v>1381.2</v>
      </c>
      <c r="J4" s="225">
        <v>4909.5</v>
      </c>
      <c r="K4" s="8"/>
    </row>
    <row r="5" spans="1:170" ht="15" customHeight="1" x14ac:dyDescent="0.2">
      <c r="A5" s="38">
        <v>35</v>
      </c>
      <c r="B5" s="73">
        <f>PRODUCT(B$3,A5)/A$3</f>
        <v>1975.499571599303</v>
      </c>
      <c r="C5" s="74">
        <f t="shared" si="0"/>
        <v>1248</v>
      </c>
      <c r="D5" s="73">
        <f t="shared" ref="D5:D39" si="1">IF(B5&lt;C5,C5*$H$18%,B5*$H$18%)</f>
        <v>633.54271261189638</v>
      </c>
      <c r="F5" s="307"/>
      <c r="G5" s="222"/>
      <c r="H5" s="222"/>
      <c r="I5" s="226"/>
      <c r="J5" s="226"/>
      <c r="K5" s="8"/>
    </row>
    <row r="6" spans="1:170" ht="15" customHeight="1" x14ac:dyDescent="0.2">
      <c r="A6" s="38">
        <v>34</v>
      </c>
      <c r="B6" s="73">
        <f t="shared" ref="B6:B39" si="2">PRODUCT(B$3,A6)/A$3</f>
        <v>1919.0567266964656</v>
      </c>
      <c r="C6" s="74">
        <f t="shared" si="0"/>
        <v>1212.3428571428569</v>
      </c>
      <c r="D6" s="73">
        <f t="shared" si="1"/>
        <v>615.4414922515565</v>
      </c>
      <c r="F6" s="35"/>
      <c r="G6" s="8"/>
      <c r="H6" s="8"/>
      <c r="I6" s="112"/>
      <c r="J6" s="8"/>
      <c r="K6" s="8"/>
    </row>
    <row r="7" spans="1:170" ht="15" customHeight="1" thickBot="1" x14ac:dyDescent="0.25">
      <c r="A7" s="38">
        <v>33</v>
      </c>
      <c r="B7" s="73">
        <f t="shared" si="2"/>
        <v>1862.6138817936287</v>
      </c>
      <c r="C7" s="74">
        <f t="shared" si="0"/>
        <v>1176.6857142857145</v>
      </c>
      <c r="D7" s="73">
        <f t="shared" si="1"/>
        <v>597.34027189121673</v>
      </c>
      <c r="F7" s="35"/>
      <c r="G7" s="19"/>
      <c r="H7" s="8"/>
      <c r="I7" s="112"/>
      <c r="J7" s="8"/>
      <c r="K7" s="8"/>
    </row>
    <row r="8" spans="1:170" ht="15" customHeight="1" x14ac:dyDescent="0.2">
      <c r="A8" s="38">
        <v>32</v>
      </c>
      <c r="B8" s="73">
        <f t="shared" si="2"/>
        <v>1806.1710368907914</v>
      </c>
      <c r="C8" s="74">
        <f t="shared" si="0"/>
        <v>1141.0285714285715</v>
      </c>
      <c r="D8" s="73">
        <f t="shared" si="1"/>
        <v>579.23905153087674</v>
      </c>
      <c r="F8" s="231" t="s">
        <v>88</v>
      </c>
      <c r="G8" s="231"/>
      <c r="H8" s="232"/>
      <c r="I8" s="229">
        <v>0</v>
      </c>
      <c r="J8" s="8"/>
      <c r="K8" s="8"/>
    </row>
    <row r="9" spans="1:170" ht="15" customHeight="1" thickBot="1" x14ac:dyDescent="0.25">
      <c r="A9" s="38">
        <v>31</v>
      </c>
      <c r="B9" s="73">
        <f t="shared" si="2"/>
        <v>1749.728191987954</v>
      </c>
      <c r="C9" s="74">
        <f t="shared" si="0"/>
        <v>1105.3714285714286</v>
      </c>
      <c r="D9" s="73">
        <f t="shared" si="1"/>
        <v>561.13783117053686</v>
      </c>
      <c r="F9" s="231"/>
      <c r="G9" s="231"/>
      <c r="H9" s="232"/>
      <c r="I9" s="230"/>
      <c r="J9" s="8"/>
      <c r="K9" s="8"/>
    </row>
    <row r="10" spans="1:170" ht="15" customHeight="1" thickBot="1" x14ac:dyDescent="0.25">
      <c r="A10" s="38">
        <v>30</v>
      </c>
      <c r="B10" s="73">
        <f t="shared" si="2"/>
        <v>1693.2853470851169</v>
      </c>
      <c r="C10" s="74">
        <f t="shared" si="0"/>
        <v>1069.7142857142856</v>
      </c>
      <c r="D10" s="73">
        <f t="shared" si="1"/>
        <v>543.03661081019698</v>
      </c>
      <c r="F10" s="117"/>
      <c r="G10" s="118"/>
      <c r="H10" s="119"/>
      <c r="I10" s="120"/>
      <c r="J10" s="8"/>
      <c r="K10" s="8"/>
    </row>
    <row r="11" spans="1:170" ht="15" customHeight="1" x14ac:dyDescent="0.2">
      <c r="A11" s="38">
        <v>29</v>
      </c>
      <c r="B11" s="73">
        <f t="shared" si="2"/>
        <v>1636.8425021822798</v>
      </c>
      <c r="C11" s="74">
        <f t="shared" si="0"/>
        <v>1034.0571428571429</v>
      </c>
      <c r="D11" s="73">
        <f t="shared" si="1"/>
        <v>524.9353904498571</v>
      </c>
      <c r="F11" s="233" t="s">
        <v>60</v>
      </c>
      <c r="G11" s="234"/>
      <c r="H11" s="234"/>
      <c r="I11" s="235"/>
      <c r="J11" s="8"/>
      <c r="K11" s="8"/>
    </row>
    <row r="12" spans="1:170" ht="15" customHeight="1" thickBot="1" x14ac:dyDescent="0.25">
      <c r="A12" s="38">
        <v>28</v>
      </c>
      <c r="B12" s="73">
        <f t="shared" si="2"/>
        <v>1580.3996572794424</v>
      </c>
      <c r="C12" s="74">
        <f t="shared" si="0"/>
        <v>998.40000000000032</v>
      </c>
      <c r="D12" s="73">
        <f t="shared" si="1"/>
        <v>506.83417008951716</v>
      </c>
      <c r="F12" s="236"/>
      <c r="G12" s="237"/>
      <c r="H12" s="237"/>
      <c r="I12" s="238"/>
      <c r="J12" s="8"/>
      <c r="K12" s="8"/>
    </row>
    <row r="13" spans="1:170" ht="15" customHeight="1" thickBot="1" x14ac:dyDescent="0.25">
      <c r="A13" s="38">
        <v>27</v>
      </c>
      <c r="B13" s="73">
        <f t="shared" si="2"/>
        <v>1523.9568123766053</v>
      </c>
      <c r="C13" s="74">
        <f t="shared" si="0"/>
        <v>962.74285714285713</v>
      </c>
      <c r="D13" s="73">
        <f t="shared" si="1"/>
        <v>488.73294972917728</v>
      </c>
      <c r="F13" s="114"/>
      <c r="G13" s="132" t="s">
        <v>53</v>
      </c>
      <c r="H13" s="130" t="s">
        <v>54</v>
      </c>
      <c r="I13" s="139" t="s">
        <v>55</v>
      </c>
      <c r="J13" s="8"/>
      <c r="K13" s="8"/>
    </row>
    <row r="14" spans="1:170" ht="15" customHeight="1" x14ac:dyDescent="0.2">
      <c r="A14" s="38">
        <v>26</v>
      </c>
      <c r="B14" s="73">
        <f t="shared" si="2"/>
        <v>1467.5139674737679</v>
      </c>
      <c r="C14" s="74">
        <f t="shared" si="0"/>
        <v>927.08571428571429</v>
      </c>
      <c r="D14" s="73">
        <f t="shared" si="1"/>
        <v>470.63172936883734</v>
      </c>
      <c r="F14" s="247" t="s">
        <v>56</v>
      </c>
      <c r="G14" s="241">
        <f>IF(I8&gt;=G4,I8,G4)</f>
        <v>1381.2</v>
      </c>
      <c r="H14" s="262">
        <v>24.27</v>
      </c>
      <c r="I14" s="245">
        <f>G14*H14%</f>
        <v>335.21724</v>
      </c>
      <c r="J14" s="8"/>
      <c r="K14" s="8"/>
    </row>
    <row r="15" spans="1:170" ht="15" customHeight="1" thickBot="1" x14ac:dyDescent="0.25">
      <c r="A15" s="38">
        <v>25</v>
      </c>
      <c r="B15" s="73">
        <f t="shared" si="2"/>
        <v>1411.0711225709308</v>
      </c>
      <c r="C15" s="74">
        <f t="shared" si="0"/>
        <v>891.42857142857156</v>
      </c>
      <c r="D15" s="73">
        <f t="shared" si="1"/>
        <v>452.53050900849752</v>
      </c>
      <c r="F15" s="248"/>
      <c r="G15" s="242"/>
      <c r="H15" s="263"/>
      <c r="I15" s="264"/>
      <c r="J15" s="8"/>
      <c r="K15" s="8"/>
    </row>
    <row r="16" spans="1:170" ht="15" customHeight="1" x14ac:dyDescent="0.2">
      <c r="A16" s="38">
        <v>24</v>
      </c>
      <c r="B16" s="73">
        <f t="shared" si="2"/>
        <v>1354.6282776680935</v>
      </c>
      <c r="C16" s="74">
        <f t="shared" si="0"/>
        <v>855.77142857142849</v>
      </c>
      <c r="D16" s="73">
        <f t="shared" si="1"/>
        <v>434.42928864815758</v>
      </c>
      <c r="F16" s="247" t="s">
        <v>57</v>
      </c>
      <c r="G16" s="241">
        <f>IF(I8&gt;=I4,I8,I4)</f>
        <v>1381.2</v>
      </c>
      <c r="H16" s="262">
        <v>7.8</v>
      </c>
      <c r="I16" s="245">
        <f>G16*H16%</f>
        <v>107.73360000000001</v>
      </c>
      <c r="J16" s="8"/>
      <c r="K16" s="8"/>
    </row>
    <row r="17" spans="1:11" ht="15" customHeight="1" thickBot="1" x14ac:dyDescent="0.25">
      <c r="A17" s="38">
        <v>23</v>
      </c>
      <c r="B17" s="73">
        <f t="shared" si="2"/>
        <v>1298.1854327652563</v>
      </c>
      <c r="C17" s="74">
        <f t="shared" si="0"/>
        <v>820.11428571428576</v>
      </c>
      <c r="D17" s="73">
        <f t="shared" si="1"/>
        <v>416.3280682878177</v>
      </c>
      <c r="F17" s="248"/>
      <c r="G17" s="242"/>
      <c r="H17" s="263"/>
      <c r="I17" s="264"/>
      <c r="J17" s="8"/>
      <c r="K17" s="8"/>
    </row>
    <row r="18" spans="1:11" ht="15" customHeight="1" thickBot="1" x14ac:dyDescent="0.25">
      <c r="A18" s="38">
        <v>22</v>
      </c>
      <c r="B18" s="73">
        <f t="shared" si="2"/>
        <v>1241.7425878624192</v>
      </c>
      <c r="C18" s="74">
        <f t="shared" si="0"/>
        <v>784.4571428571428</v>
      </c>
      <c r="D18" s="73">
        <f t="shared" si="1"/>
        <v>398.22684792747782</v>
      </c>
      <c r="F18" s="227" t="s">
        <v>61</v>
      </c>
      <c r="G18" s="228"/>
      <c r="H18" s="131">
        <f>(H14+H16)</f>
        <v>32.07</v>
      </c>
      <c r="I18" s="127">
        <f>SUM(I14:I17)</f>
        <v>442.95084000000003</v>
      </c>
      <c r="J18" s="8"/>
      <c r="K18" s="8"/>
    </row>
    <row r="19" spans="1:11" ht="15" customHeight="1" x14ac:dyDescent="0.2">
      <c r="A19" s="38">
        <v>21</v>
      </c>
      <c r="B19" s="73">
        <f t="shared" si="2"/>
        <v>1185.2997429595819</v>
      </c>
      <c r="C19" s="74">
        <f t="shared" si="0"/>
        <v>748.80000000000007</v>
      </c>
      <c r="D19" s="73">
        <f t="shared" si="1"/>
        <v>380.12562756713788</v>
      </c>
      <c r="F19" s="123"/>
      <c r="G19" s="124"/>
      <c r="H19" s="125"/>
      <c r="I19" s="126"/>
      <c r="J19" s="8"/>
      <c r="K19" s="8"/>
    </row>
    <row r="20" spans="1:11" ht="15" customHeight="1" x14ac:dyDescent="0.2">
      <c r="A20" s="38">
        <v>20</v>
      </c>
      <c r="B20" s="73">
        <f t="shared" si="2"/>
        <v>1128.8568980567447</v>
      </c>
      <c r="C20" s="74">
        <f t="shared" si="0"/>
        <v>713.14285714285722</v>
      </c>
      <c r="D20" s="73">
        <f t="shared" si="1"/>
        <v>362.024407206798</v>
      </c>
      <c r="F20" s="216" t="s">
        <v>75</v>
      </c>
      <c r="G20" s="216"/>
      <c r="H20" s="216"/>
      <c r="I20" s="216"/>
      <c r="J20" s="216"/>
      <c r="K20" s="144"/>
    </row>
    <row r="21" spans="1:11" ht="15" customHeight="1" x14ac:dyDescent="0.2">
      <c r="A21" s="38">
        <v>19</v>
      </c>
      <c r="B21" s="73">
        <f t="shared" si="2"/>
        <v>1072.4140531539074</v>
      </c>
      <c r="C21" s="74">
        <f t="shared" si="0"/>
        <v>677.48571428571438</v>
      </c>
      <c r="D21" s="73">
        <f t="shared" si="1"/>
        <v>343.92318684645807</v>
      </c>
      <c r="F21" s="216"/>
      <c r="G21" s="216"/>
      <c r="H21" s="216"/>
      <c r="I21" s="216"/>
      <c r="J21" s="216"/>
      <c r="K21" s="144"/>
    </row>
    <row r="22" spans="1:11" ht="15" customHeight="1" thickBot="1" x14ac:dyDescent="0.25">
      <c r="A22" s="38">
        <v>18</v>
      </c>
      <c r="B22" s="73">
        <f t="shared" si="2"/>
        <v>1015.9712082510702</v>
      </c>
      <c r="C22" s="74">
        <f t="shared" si="0"/>
        <v>641.82857142857154</v>
      </c>
      <c r="D22" s="73">
        <f t="shared" si="1"/>
        <v>325.82196648611819</v>
      </c>
      <c r="F22" s="35"/>
      <c r="G22" s="19"/>
      <c r="H22" s="8"/>
      <c r="I22" s="112"/>
      <c r="J22" s="8"/>
      <c r="K22" s="8"/>
    </row>
    <row r="23" spans="1:11" ht="15" customHeight="1" x14ac:dyDescent="0.2">
      <c r="A23" s="38">
        <v>17</v>
      </c>
      <c r="B23" s="73">
        <f t="shared" si="2"/>
        <v>959.5283633482328</v>
      </c>
      <c r="C23" s="74">
        <f t="shared" si="0"/>
        <v>606.17142857142846</v>
      </c>
      <c r="D23" s="73">
        <f t="shared" si="1"/>
        <v>307.72074612577825</v>
      </c>
      <c r="F23" s="231" t="s">
        <v>62</v>
      </c>
      <c r="G23" s="231"/>
      <c r="H23" s="232"/>
      <c r="I23" s="251"/>
      <c r="J23" s="8"/>
      <c r="K23" s="8"/>
    </row>
    <row r="24" spans="1:11" ht="15" customHeight="1" thickBot="1" x14ac:dyDescent="0.25">
      <c r="A24" s="38">
        <v>16</v>
      </c>
      <c r="B24" s="73">
        <f t="shared" si="2"/>
        <v>903.08551844539568</v>
      </c>
      <c r="C24" s="74">
        <f t="shared" si="0"/>
        <v>570.51428571428573</v>
      </c>
      <c r="D24" s="73">
        <f t="shared" si="1"/>
        <v>289.61952576543837</v>
      </c>
      <c r="F24" s="231"/>
      <c r="G24" s="231"/>
      <c r="H24" s="232"/>
      <c r="I24" s="252"/>
      <c r="J24" s="8"/>
      <c r="K24" s="8"/>
    </row>
    <row r="25" spans="1:11" ht="15" customHeight="1" thickBot="1" x14ac:dyDescent="0.25">
      <c r="A25" s="38">
        <v>15</v>
      </c>
      <c r="B25" s="73">
        <f t="shared" si="2"/>
        <v>846.64267354255844</v>
      </c>
      <c r="C25" s="74">
        <f t="shared" si="0"/>
        <v>534.85714285714278</v>
      </c>
      <c r="D25" s="73">
        <f t="shared" si="1"/>
        <v>271.51830540509849</v>
      </c>
      <c r="F25" s="35"/>
      <c r="G25" s="19"/>
      <c r="H25" s="8"/>
      <c r="I25" s="112"/>
      <c r="J25" s="8"/>
      <c r="K25" s="8"/>
    </row>
    <row r="26" spans="1:11" ht="15" customHeight="1" x14ac:dyDescent="0.2">
      <c r="A26" s="38">
        <v>14</v>
      </c>
      <c r="B26" s="73">
        <f t="shared" si="2"/>
        <v>790.1998286397212</v>
      </c>
      <c r="C26" s="74">
        <f t="shared" si="0"/>
        <v>499.20000000000016</v>
      </c>
      <c r="D26" s="73">
        <f t="shared" si="1"/>
        <v>253.41708504475858</v>
      </c>
      <c r="F26" s="231" t="s">
        <v>67</v>
      </c>
      <c r="G26" s="231"/>
      <c r="H26" s="232"/>
      <c r="I26" s="229"/>
      <c r="J26" s="8"/>
      <c r="K26" s="8"/>
    </row>
    <row r="27" spans="1:11" ht="15" customHeight="1" thickBot="1" x14ac:dyDescent="0.25">
      <c r="A27" s="38">
        <v>13</v>
      </c>
      <c r="B27" s="73">
        <f t="shared" si="2"/>
        <v>733.75698373688397</v>
      </c>
      <c r="C27" s="74">
        <f t="shared" si="0"/>
        <v>463.54285714285714</v>
      </c>
      <c r="D27" s="73">
        <f t="shared" si="1"/>
        <v>235.31586468441867</v>
      </c>
      <c r="F27" s="231"/>
      <c r="G27" s="231"/>
      <c r="H27" s="232"/>
      <c r="I27" s="230"/>
      <c r="J27" s="8"/>
      <c r="K27" s="8"/>
    </row>
    <row r="28" spans="1:11" ht="15" customHeight="1" thickBot="1" x14ac:dyDescent="0.25">
      <c r="A28" s="38">
        <v>12</v>
      </c>
      <c r="B28" s="73">
        <f t="shared" si="2"/>
        <v>677.31413883404673</v>
      </c>
      <c r="C28" s="74">
        <f t="shared" si="0"/>
        <v>427.88571428571424</v>
      </c>
      <c r="D28" s="73">
        <f t="shared" si="1"/>
        <v>217.21464432407879</v>
      </c>
      <c r="F28" s="35"/>
      <c r="G28" s="19"/>
      <c r="H28" s="8"/>
      <c r="I28" s="112"/>
      <c r="J28" s="8"/>
      <c r="K28" s="8"/>
    </row>
    <row r="29" spans="1:11" ht="15" customHeight="1" x14ac:dyDescent="0.2">
      <c r="A29" s="38">
        <v>11</v>
      </c>
      <c r="B29" s="73">
        <f t="shared" si="2"/>
        <v>620.87129393120961</v>
      </c>
      <c r="C29" s="74">
        <f t="shared" si="0"/>
        <v>392.2285714285714</v>
      </c>
      <c r="D29" s="73">
        <f t="shared" si="1"/>
        <v>199.11342396373891</v>
      </c>
      <c r="F29" s="233" t="s">
        <v>63</v>
      </c>
      <c r="G29" s="234"/>
      <c r="H29" s="234"/>
      <c r="I29" s="235"/>
      <c r="J29" s="8"/>
      <c r="K29" s="8"/>
    </row>
    <row r="30" spans="1:11" ht="15" customHeight="1" thickBot="1" x14ac:dyDescent="0.25">
      <c r="A30" s="38">
        <v>10</v>
      </c>
      <c r="B30" s="73">
        <f t="shared" si="2"/>
        <v>564.42844902837237</v>
      </c>
      <c r="C30" s="74">
        <f t="shared" si="0"/>
        <v>356.57142857142861</v>
      </c>
      <c r="D30" s="73">
        <f t="shared" si="1"/>
        <v>181.012203603399</v>
      </c>
      <c r="F30" s="236"/>
      <c r="G30" s="237"/>
      <c r="H30" s="237"/>
      <c r="I30" s="238"/>
      <c r="J30" s="8"/>
      <c r="K30" s="8"/>
    </row>
    <row r="31" spans="1:11" ht="15" customHeight="1" thickBot="1" x14ac:dyDescent="0.25">
      <c r="A31" s="38">
        <v>9</v>
      </c>
      <c r="B31" s="73">
        <f t="shared" si="2"/>
        <v>507.98560412553508</v>
      </c>
      <c r="C31" s="74">
        <f t="shared" si="0"/>
        <v>320.91428571428577</v>
      </c>
      <c r="D31" s="73">
        <f t="shared" si="1"/>
        <v>162.91098324305909</v>
      </c>
      <c r="F31" s="134" t="s">
        <v>68</v>
      </c>
      <c r="G31" s="132" t="s">
        <v>53</v>
      </c>
      <c r="H31" s="130" t="s">
        <v>69</v>
      </c>
      <c r="I31" s="116" t="s">
        <v>55</v>
      </c>
      <c r="J31" s="8"/>
      <c r="K31" s="8"/>
    </row>
    <row r="32" spans="1:11" ht="15" customHeight="1" x14ac:dyDescent="0.2">
      <c r="A32" s="38">
        <v>8</v>
      </c>
      <c r="B32" s="73">
        <f t="shared" si="2"/>
        <v>451.54275922269784</v>
      </c>
      <c r="C32" s="74">
        <f t="shared" si="0"/>
        <v>285.25714285714287</v>
      </c>
      <c r="D32" s="73">
        <f t="shared" si="1"/>
        <v>144.80976288271918</v>
      </c>
      <c r="F32" s="302">
        <f>((I23/37.5*7.5*5)/7)*30*$C$43</f>
        <v>0</v>
      </c>
      <c r="G32" s="260">
        <f>IF(I26&lt;F32,F32,I26)</f>
        <v>0</v>
      </c>
      <c r="H32" s="262">
        <v>32.07</v>
      </c>
      <c r="I32" s="245">
        <f>G32*H32%</f>
        <v>0</v>
      </c>
      <c r="J32" s="8"/>
      <c r="K32" s="8"/>
    </row>
    <row r="33" spans="1:11" ht="15" customHeight="1" thickBot="1" x14ac:dyDescent="0.25">
      <c r="A33" s="38">
        <v>7</v>
      </c>
      <c r="B33" s="73">
        <f t="shared" si="2"/>
        <v>395.0999143198606</v>
      </c>
      <c r="C33" s="74">
        <f t="shared" si="0"/>
        <v>249.60000000000008</v>
      </c>
      <c r="D33" s="73">
        <f t="shared" si="1"/>
        <v>126.70854252237929</v>
      </c>
      <c r="F33" s="259"/>
      <c r="G33" s="261"/>
      <c r="H33" s="263"/>
      <c r="I33" s="264"/>
      <c r="J33" s="8"/>
      <c r="K33" s="8"/>
    </row>
    <row r="34" spans="1:11" ht="15" customHeight="1" thickBot="1" x14ac:dyDescent="0.25">
      <c r="A34" s="38">
        <v>6</v>
      </c>
      <c r="B34" s="73">
        <f t="shared" si="2"/>
        <v>338.65706941702337</v>
      </c>
      <c r="C34" s="74">
        <f t="shared" si="0"/>
        <v>213.94285714285712</v>
      </c>
      <c r="D34" s="73">
        <f t="shared" si="1"/>
        <v>108.6073221620394</v>
      </c>
      <c r="F34" s="253" t="s">
        <v>64</v>
      </c>
      <c r="G34" s="254"/>
      <c r="H34" s="255"/>
      <c r="I34" s="127">
        <f>SUM(I32)</f>
        <v>0</v>
      </c>
      <c r="J34" s="8"/>
      <c r="K34" s="8"/>
    </row>
    <row r="35" spans="1:11" ht="15" customHeight="1" x14ac:dyDescent="0.2">
      <c r="A35" s="38">
        <v>5</v>
      </c>
      <c r="B35" s="73">
        <f t="shared" si="2"/>
        <v>282.21422451418618</v>
      </c>
      <c r="C35" s="74">
        <f t="shared" si="0"/>
        <v>178.28571428571431</v>
      </c>
      <c r="D35" s="73">
        <f t="shared" si="1"/>
        <v>90.506101801699501</v>
      </c>
      <c r="F35" s="35"/>
      <c r="G35" s="19"/>
      <c r="H35" s="8"/>
      <c r="I35" s="112"/>
      <c r="J35" s="8"/>
      <c r="K35" s="133"/>
    </row>
    <row r="36" spans="1:11" ht="15" customHeight="1" x14ac:dyDescent="0.2">
      <c r="A36" s="38">
        <v>4</v>
      </c>
      <c r="B36" s="73">
        <f t="shared" si="2"/>
        <v>225.77137961134892</v>
      </c>
      <c r="C36" s="74">
        <f t="shared" si="0"/>
        <v>142.62857142857143</v>
      </c>
      <c r="D36" s="73">
        <f t="shared" si="1"/>
        <v>72.404881441359592</v>
      </c>
      <c r="F36" s="276" t="s">
        <v>66</v>
      </c>
      <c r="G36" s="276"/>
      <c r="H36" s="276"/>
      <c r="I36" s="257" t="s">
        <v>98</v>
      </c>
      <c r="K36" s="133"/>
    </row>
    <row r="37" spans="1:11" ht="15" customHeight="1" x14ac:dyDescent="0.2">
      <c r="A37" s="38">
        <v>3</v>
      </c>
      <c r="B37" s="73">
        <f t="shared" si="2"/>
        <v>169.32853470851168</v>
      </c>
      <c r="C37" s="74">
        <f t="shared" si="0"/>
        <v>106.97142857142856</v>
      </c>
      <c r="D37" s="73">
        <f t="shared" si="1"/>
        <v>54.303661081019698</v>
      </c>
      <c r="F37" s="276"/>
      <c r="G37" s="276"/>
      <c r="H37" s="276"/>
      <c r="I37" s="257"/>
      <c r="K37" s="133"/>
    </row>
    <row r="38" spans="1:11" ht="15" customHeight="1" x14ac:dyDescent="0.2">
      <c r="A38" s="38">
        <v>2</v>
      </c>
      <c r="B38" s="73">
        <f t="shared" si="2"/>
        <v>112.88568980567446</v>
      </c>
      <c r="C38" s="74">
        <f t="shared" si="0"/>
        <v>71.314285714285717</v>
      </c>
      <c r="D38" s="73">
        <f t="shared" si="1"/>
        <v>36.202440720679796</v>
      </c>
    </row>
    <row r="39" spans="1:11" ht="15" customHeight="1" x14ac:dyDescent="0.2">
      <c r="A39" s="39">
        <v>1</v>
      </c>
      <c r="B39" s="75">
        <f t="shared" si="2"/>
        <v>56.44284490283723</v>
      </c>
      <c r="C39" s="76">
        <f t="shared" si="0"/>
        <v>35.657142857142858</v>
      </c>
      <c r="D39" s="75">
        <f t="shared" si="1"/>
        <v>18.101220360339898</v>
      </c>
    </row>
    <row r="40" spans="1:11" hidden="1" x14ac:dyDescent="0.2"/>
    <row r="41" spans="1:11" hidden="1" x14ac:dyDescent="0.2">
      <c r="C41" s="209" t="s">
        <v>94</v>
      </c>
    </row>
    <row r="42" spans="1:11" ht="13.5" hidden="1" thickBot="1" x14ac:dyDescent="0.25"/>
    <row r="43" spans="1:11" ht="36" hidden="1" customHeight="1" thickBot="1" x14ac:dyDescent="0.25">
      <c r="B43" s="205" t="s">
        <v>16</v>
      </c>
      <c r="C43" s="206">
        <v>8.32</v>
      </c>
    </row>
    <row r="44" spans="1:11" hidden="1" x14ac:dyDescent="0.2"/>
  </sheetData>
  <sheetProtection algorithmName="SHA-512" hashValue="RgnCngSTk5UuX4t9bzoGfUh5WzpMeYNfRYTV2RTg+GTX5i7ntWE5WU/EgF5oQQqltZ9COeIpvK0kcehYISnabw==" saltValue="xHuZF+u6/v5PKECV06OZFw==" spinCount="100000" sheet="1" objects="1" scenarios="1"/>
  <protectedRanges>
    <protectedRange sqref="I36" name="CALCULO RC"/>
    <protectedRange sqref="I8" name="RET TP_1"/>
    <protectedRange sqref="I23" name="DED_1"/>
    <protectedRange sqref="I26" name="RET TP_2"/>
  </protectedRanges>
  <mergeCells count="33">
    <mergeCell ref="A1:D1"/>
    <mergeCell ref="F2:H2"/>
    <mergeCell ref="I2:J2"/>
    <mergeCell ref="F4:F5"/>
    <mergeCell ref="G4:G5"/>
    <mergeCell ref="H4:H5"/>
    <mergeCell ref="I4:I5"/>
    <mergeCell ref="J4:J5"/>
    <mergeCell ref="I16:I17"/>
    <mergeCell ref="F18:G18"/>
    <mergeCell ref="F8:H9"/>
    <mergeCell ref="I8:I9"/>
    <mergeCell ref="F11:I12"/>
    <mergeCell ref="F14:F15"/>
    <mergeCell ref="G14:G15"/>
    <mergeCell ref="H14:H15"/>
    <mergeCell ref="I14:I15"/>
    <mergeCell ref="I36:I37"/>
    <mergeCell ref="H16:H17"/>
    <mergeCell ref="F36:H37"/>
    <mergeCell ref="F20:J21"/>
    <mergeCell ref="F32:F33"/>
    <mergeCell ref="G32:G33"/>
    <mergeCell ref="H32:H33"/>
    <mergeCell ref="I32:I33"/>
    <mergeCell ref="F34:H34"/>
    <mergeCell ref="F23:H24"/>
    <mergeCell ref="I23:I24"/>
    <mergeCell ref="F26:H27"/>
    <mergeCell ref="I26:I27"/>
    <mergeCell ref="F29:I30"/>
    <mergeCell ref="F16:F17"/>
    <mergeCell ref="G16:G17"/>
  </mergeCells>
  <phoneticPr fontId="0" type="noConversion"/>
  <hyperlinks>
    <hyperlink ref="I36:I37" r:id="rId1" display="CALCULO RC E INDEMNIZACION" xr:uid="{00000000-0004-0000-0700-000000000000}"/>
  </hyperlinks>
  <printOptions horizontalCentered="1"/>
  <pageMargins left="1.71875" right="0.94488188976377963" top="0" bottom="0.39370078740157483" header="0" footer="0"/>
  <pageSetup paperSize="9" orientation="landscape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/>
  <dimension ref="A1:K66"/>
  <sheetViews>
    <sheetView topLeftCell="A40" workbookViewId="0">
      <selection activeCell="D51" sqref="D51"/>
    </sheetView>
  </sheetViews>
  <sheetFormatPr baseColWidth="10" defaultColWidth="11.42578125" defaultRowHeight="12.75" x14ac:dyDescent="0.2"/>
  <cols>
    <col min="1" max="1" width="35.5703125" style="8" customWidth="1"/>
    <col min="2" max="3" width="18.28515625" style="99" customWidth="1"/>
    <col min="4" max="4" width="23.5703125" style="8" bestFit="1" customWidth="1"/>
    <col min="5" max="5" width="39.5703125" style="8" customWidth="1"/>
    <col min="6" max="6" width="11.42578125" style="8"/>
    <col min="7" max="7" width="32" style="8" bestFit="1" customWidth="1"/>
    <col min="8" max="8" width="14.42578125" style="94" bestFit="1" customWidth="1"/>
    <col min="9" max="9" width="11.42578125" style="8"/>
    <col min="10" max="11" width="20.7109375" style="8" bestFit="1" customWidth="1"/>
    <col min="12" max="16384" width="11.42578125" style="8"/>
  </cols>
  <sheetData>
    <row r="1" spans="1:8" s="21" customFormat="1" ht="26.25" thickBot="1" x14ac:dyDescent="0.25">
      <c r="A1" s="26" t="s">
        <v>0</v>
      </c>
      <c r="B1" s="87" t="s">
        <v>11</v>
      </c>
      <c r="C1" s="87" t="s">
        <v>9</v>
      </c>
      <c r="H1" s="89"/>
    </row>
    <row r="2" spans="1:8" ht="16.5" customHeight="1" x14ac:dyDescent="0.2">
      <c r="A2" s="11" t="s">
        <v>32</v>
      </c>
      <c r="B2" s="96">
        <f>B16</f>
        <v>2799.827692075</v>
      </c>
      <c r="C2" s="96">
        <f>C16</f>
        <v>3639.7757385999998</v>
      </c>
      <c r="D2" s="9"/>
      <c r="E2" s="9"/>
      <c r="G2" s="10"/>
      <c r="H2" s="90"/>
    </row>
    <row r="3" spans="1:8" ht="16.5" customHeight="1" x14ac:dyDescent="0.2">
      <c r="A3" s="11" t="s">
        <v>31</v>
      </c>
      <c r="B3" s="96">
        <f>B23</f>
        <v>2299.8590519250001</v>
      </c>
      <c r="C3" s="96">
        <f>C23</f>
        <v>2989.8152879499999</v>
      </c>
      <c r="D3" s="9"/>
      <c r="E3" s="9"/>
      <c r="G3" s="10"/>
      <c r="H3" s="90"/>
    </row>
    <row r="4" spans="1:8" ht="16.5" customHeight="1" x14ac:dyDescent="0.2">
      <c r="A4" s="11" t="s">
        <v>30</v>
      </c>
      <c r="B4" s="96">
        <f>B30</f>
        <v>0</v>
      </c>
      <c r="C4" s="96">
        <f>C30</f>
        <v>0</v>
      </c>
      <c r="D4" s="16"/>
      <c r="E4" s="16"/>
      <c r="F4" s="34"/>
    </row>
    <row r="5" spans="1:8" ht="16.5" customHeight="1" x14ac:dyDescent="0.2">
      <c r="A5" s="11" t="s">
        <v>38</v>
      </c>
      <c r="B5" s="96">
        <f>B37</f>
        <v>1699.8952912249999</v>
      </c>
      <c r="C5" s="96">
        <f>C37</f>
        <v>2209.8639656250002</v>
      </c>
      <c r="D5" s="34"/>
      <c r="E5" s="34"/>
      <c r="F5" s="129"/>
    </row>
    <row r="6" spans="1:8" ht="16.5" customHeight="1" x14ac:dyDescent="0.2">
      <c r="A6" s="11" t="s">
        <v>39</v>
      </c>
      <c r="B6" s="96">
        <f>B44</f>
        <v>1599.9010410000001</v>
      </c>
      <c r="C6" s="96">
        <f>C44</f>
        <v>2079.8713533</v>
      </c>
      <c r="E6" s="34"/>
      <c r="F6" s="129"/>
    </row>
    <row r="7" spans="1:8" ht="18" customHeight="1" x14ac:dyDescent="0.2">
      <c r="A7" s="11" t="s">
        <v>40</v>
      </c>
      <c r="B7" s="96">
        <f>B51</f>
        <v>1499.9076611</v>
      </c>
      <c r="C7" s="96">
        <f>C51</f>
        <v>1949.8804816249999</v>
      </c>
      <c r="E7" s="34"/>
      <c r="F7" s="129"/>
    </row>
    <row r="8" spans="1:8" ht="18.75" customHeight="1" x14ac:dyDescent="0.2">
      <c r="A8" s="11" t="s">
        <v>37</v>
      </c>
      <c r="B8" s="96">
        <f>F33</f>
        <v>2464.5581544655834</v>
      </c>
      <c r="C8" s="96"/>
      <c r="E8" s="34"/>
      <c r="F8" s="129"/>
    </row>
    <row r="9" spans="1:8" ht="19.5" customHeight="1" thickBot="1" x14ac:dyDescent="0.25">
      <c r="A9" s="22" t="s">
        <v>34</v>
      </c>
      <c r="B9" s="97">
        <f>F21</f>
        <v>2116.6066838563961</v>
      </c>
      <c r="C9" s="97"/>
      <c r="E9" s="34"/>
      <c r="F9" s="34"/>
    </row>
    <row r="10" spans="1:8" x14ac:dyDescent="0.2">
      <c r="A10" s="23"/>
      <c r="B10" s="98"/>
      <c r="C10" s="98"/>
      <c r="E10" s="34"/>
      <c r="F10" s="34"/>
    </row>
    <row r="11" spans="1:8" x14ac:dyDescent="0.2">
      <c r="E11" s="16"/>
      <c r="F11" s="16"/>
    </row>
    <row r="12" spans="1:8" ht="13.5" thickBot="1" x14ac:dyDescent="0.25">
      <c r="A12" s="14"/>
      <c r="D12" s="14"/>
      <c r="E12" s="17"/>
      <c r="F12" s="17"/>
    </row>
    <row r="13" spans="1:8" ht="26.25" thickBot="1" x14ac:dyDescent="0.25">
      <c r="A13" s="140" t="s">
        <v>32</v>
      </c>
      <c r="B13" s="141" t="s">
        <v>8</v>
      </c>
      <c r="C13" s="142" t="s">
        <v>10</v>
      </c>
      <c r="D13" s="14"/>
      <c r="E13" s="311" t="s">
        <v>28</v>
      </c>
      <c r="F13" s="312"/>
    </row>
    <row r="14" spans="1:8" ht="16.5" customHeight="1" thickTop="1" x14ac:dyDescent="0.25">
      <c r="A14" s="24" t="s">
        <v>12</v>
      </c>
      <c r="B14" s="100">
        <f>(D58)/12</f>
        <v>2709.51066975</v>
      </c>
      <c r="C14" s="101">
        <f>(E58)/12</f>
        <v>3522.3636179999999</v>
      </c>
      <c r="D14" s="14"/>
      <c r="E14" s="32" t="s">
        <v>101</v>
      </c>
      <c r="F14" s="212">
        <v>716.98</v>
      </c>
    </row>
    <row r="15" spans="1:8" ht="16.5" customHeight="1" x14ac:dyDescent="0.25">
      <c r="A15" s="24" t="s">
        <v>2</v>
      </c>
      <c r="B15" s="100">
        <f>B14/30*12/12</f>
        <v>90.317022324999996</v>
      </c>
      <c r="C15" s="101">
        <f>C14/30*12/12</f>
        <v>117.41212059999999</v>
      </c>
      <c r="D15" s="14"/>
      <c r="E15" s="32" t="s">
        <v>5</v>
      </c>
      <c r="F15" s="213">
        <v>364.96678599000001</v>
      </c>
    </row>
    <row r="16" spans="1:8" ht="16.5" customHeight="1" x14ac:dyDescent="0.25">
      <c r="A16" s="25" t="s">
        <v>29</v>
      </c>
      <c r="B16" s="102">
        <f>SUM(B14:B15)</f>
        <v>2799.827692075</v>
      </c>
      <c r="C16" s="103">
        <f>SUM(C14:C15)</f>
        <v>3639.7757385999998</v>
      </c>
      <c r="D16" s="14"/>
      <c r="E16" s="32" t="s">
        <v>6</v>
      </c>
      <c r="F16" s="213">
        <v>672.20889889499995</v>
      </c>
    </row>
    <row r="17" spans="1:8" ht="16.5" customHeight="1" x14ac:dyDescent="0.2">
      <c r="A17" s="14"/>
      <c r="B17" s="99">
        <f>B16*12</f>
        <v>33597.932304900001</v>
      </c>
      <c r="C17" s="99">
        <f>C16*12</f>
        <v>43677.3088632</v>
      </c>
      <c r="D17" s="14"/>
      <c r="E17" s="32" t="s">
        <v>2</v>
      </c>
      <c r="F17" s="91">
        <f>SUM(F14:F16)/30*12/12</f>
        <v>58.47185616283334</v>
      </c>
      <c r="G17" s="8" t="s">
        <v>17</v>
      </c>
    </row>
    <row r="18" spans="1:8" ht="15" x14ac:dyDescent="0.25">
      <c r="A18" s="14"/>
      <c r="D18" s="14"/>
      <c r="E18" s="32" t="s">
        <v>102</v>
      </c>
      <c r="F18" s="215">
        <v>76.258467066375005</v>
      </c>
    </row>
    <row r="19" spans="1:8" x14ac:dyDescent="0.2">
      <c r="A19" s="14"/>
      <c r="D19" s="14"/>
      <c r="E19" s="32"/>
      <c r="F19" s="92"/>
    </row>
    <row r="20" spans="1:8" ht="26.25" thickBot="1" x14ac:dyDescent="0.25">
      <c r="A20" s="140" t="s">
        <v>31</v>
      </c>
      <c r="B20" s="141" t="s">
        <v>8</v>
      </c>
      <c r="C20" s="142" t="s">
        <v>10</v>
      </c>
      <c r="D20" s="14"/>
      <c r="E20" s="32" t="s">
        <v>1</v>
      </c>
      <c r="F20" s="91">
        <f>(710.4407049+F15+F16)/6</f>
        <v>291.2693982975</v>
      </c>
    </row>
    <row r="21" spans="1:8" ht="16.5" customHeight="1" thickTop="1" thickBot="1" x14ac:dyDescent="0.25">
      <c r="A21" s="24" t="s">
        <v>12</v>
      </c>
      <c r="B21" s="100">
        <f>(D59)/12</f>
        <v>2225.6700502500003</v>
      </c>
      <c r="C21" s="101">
        <f>(E59)/12</f>
        <v>2893.3696335</v>
      </c>
      <c r="D21" s="14"/>
      <c r="E21" s="15" t="s">
        <v>35</v>
      </c>
      <c r="F21" s="93">
        <f>SUM(F14:F17)+(F18/6)+F20</f>
        <v>2116.6066838563961</v>
      </c>
      <c r="G21" s="17"/>
      <c r="H21" s="95"/>
    </row>
    <row r="22" spans="1:8" ht="16.5" customHeight="1" x14ac:dyDescent="0.2">
      <c r="A22" s="24" t="s">
        <v>2</v>
      </c>
      <c r="B22" s="100">
        <f>B21/30*12/12</f>
        <v>74.189001675000014</v>
      </c>
      <c r="C22" s="101">
        <f>C21/30*12/12</f>
        <v>96.445654449999992</v>
      </c>
      <c r="D22" s="14"/>
      <c r="F22" s="94">
        <f>F21*12</f>
        <v>25399.280206276751</v>
      </c>
    </row>
    <row r="23" spans="1:8" ht="16.5" customHeight="1" x14ac:dyDescent="0.2">
      <c r="A23" s="25" t="s">
        <v>29</v>
      </c>
      <c r="B23" s="102">
        <f>SUM(B21:B22)</f>
        <v>2299.8590519250001</v>
      </c>
      <c r="C23" s="103">
        <f>SUM(C21:C22)</f>
        <v>2989.8152879499999</v>
      </c>
      <c r="D23" s="14"/>
      <c r="F23" s="94"/>
    </row>
    <row r="24" spans="1:8" ht="13.5" thickBot="1" x14ac:dyDescent="0.25">
      <c r="A24" s="14"/>
      <c r="B24" s="99">
        <f>B23*12</f>
        <v>27598.308623100002</v>
      </c>
      <c r="C24" s="99">
        <f>C23*12</f>
        <v>35877.7834554</v>
      </c>
      <c r="D24" s="14"/>
      <c r="F24" s="94"/>
    </row>
    <row r="25" spans="1:8" ht="19.5" customHeight="1" thickBot="1" x14ac:dyDescent="0.25">
      <c r="A25" s="14"/>
      <c r="D25" s="14"/>
      <c r="E25" s="311" t="s">
        <v>27</v>
      </c>
      <c r="F25" s="312"/>
    </row>
    <row r="26" spans="1:8" ht="15" x14ac:dyDescent="0.25">
      <c r="B26" s="104"/>
      <c r="C26" s="104"/>
      <c r="D26" s="18"/>
      <c r="E26" s="32" t="s">
        <v>103</v>
      </c>
      <c r="F26" s="211">
        <v>861.46</v>
      </c>
    </row>
    <row r="27" spans="1:8" ht="29.25" thickBot="1" x14ac:dyDescent="0.3">
      <c r="A27" s="143" t="s">
        <v>30</v>
      </c>
      <c r="B27" s="141" t="s">
        <v>8</v>
      </c>
      <c r="C27" s="142" t="s">
        <v>10</v>
      </c>
      <c r="D27" s="13"/>
      <c r="E27" s="32" t="s">
        <v>3</v>
      </c>
      <c r="F27" s="213">
        <v>472.37423183999999</v>
      </c>
    </row>
    <row r="28" spans="1:8" ht="16.5" customHeight="1" thickTop="1" x14ac:dyDescent="0.25">
      <c r="A28" s="24" t="s">
        <v>12</v>
      </c>
      <c r="B28" s="100">
        <f>(D60)/12</f>
        <v>0</v>
      </c>
      <c r="C28" s="101">
        <f>(E60)/12</f>
        <v>0</v>
      </c>
      <c r="D28" s="13"/>
      <c r="E28" s="32" t="s">
        <v>4</v>
      </c>
      <c r="F28" s="213">
        <v>722.49262888500004</v>
      </c>
    </row>
    <row r="29" spans="1:8" ht="16.5" customHeight="1" x14ac:dyDescent="0.2">
      <c r="A29" s="24" t="s">
        <v>2</v>
      </c>
      <c r="B29" s="100">
        <v>0</v>
      </c>
      <c r="C29" s="101">
        <v>0</v>
      </c>
      <c r="D29" s="13"/>
      <c r="E29" s="32" t="s">
        <v>2</v>
      </c>
      <c r="F29" s="91">
        <f>SUM(F26:F28)/30*12/12</f>
        <v>68.544228690833336</v>
      </c>
      <c r="G29" s="8" t="s">
        <v>17</v>
      </c>
    </row>
    <row r="30" spans="1:8" ht="16.5" customHeight="1" x14ac:dyDescent="0.25">
      <c r="A30" s="25" t="s">
        <v>29</v>
      </c>
      <c r="B30" s="102">
        <f>SUM(B28:B29)</f>
        <v>0</v>
      </c>
      <c r="C30" s="103">
        <f>SUM(C28:C29)</f>
        <v>0</v>
      </c>
      <c r="D30" s="13"/>
      <c r="E30" s="32" t="s">
        <v>104</v>
      </c>
      <c r="F30" s="213">
        <v>98.691380788499998</v>
      </c>
    </row>
    <row r="31" spans="1:8" x14ac:dyDescent="0.2">
      <c r="A31" s="17"/>
      <c r="B31" s="105"/>
      <c r="C31" s="105"/>
      <c r="D31" s="13"/>
      <c r="E31" s="32"/>
      <c r="F31" s="92"/>
    </row>
    <row r="32" spans="1:8" x14ac:dyDescent="0.2">
      <c r="A32" s="17"/>
      <c r="B32" s="105"/>
      <c r="C32" s="105"/>
      <c r="D32" s="13"/>
      <c r="E32" s="32" t="s">
        <v>1</v>
      </c>
      <c r="F32" s="91">
        <f>(744.564148785+F27+F28)/6</f>
        <v>323.23850158499999</v>
      </c>
    </row>
    <row r="33" spans="1:6" ht="13.5" thickBot="1" x14ac:dyDescent="0.25">
      <c r="E33" s="15" t="s">
        <v>36</v>
      </c>
      <c r="F33" s="93">
        <f>SUM(F26:F29)+(F30/6)+F32</f>
        <v>2464.5581544655834</v>
      </c>
    </row>
    <row r="34" spans="1:6" ht="26.25" thickBot="1" x14ac:dyDescent="0.25">
      <c r="A34" s="140" t="s">
        <v>38</v>
      </c>
      <c r="B34" s="141" t="s">
        <v>8</v>
      </c>
      <c r="C34" s="142" t="s">
        <v>10</v>
      </c>
      <c r="D34" s="13"/>
      <c r="F34" s="8">
        <f>F33*12</f>
        <v>29574.697853587</v>
      </c>
    </row>
    <row r="35" spans="1:6" ht="16.5" customHeight="1" thickTop="1" x14ac:dyDescent="0.2">
      <c r="A35" s="24" t="s">
        <v>12</v>
      </c>
      <c r="B35" s="100">
        <f>(D62)/12</f>
        <v>1645.05995925</v>
      </c>
      <c r="C35" s="101">
        <f>(E62)/12</f>
        <v>2138.5780312500001</v>
      </c>
      <c r="D35" s="13"/>
    </row>
    <row r="36" spans="1:6" ht="16.5" customHeight="1" x14ac:dyDescent="0.2">
      <c r="A36" s="24" t="s">
        <v>2</v>
      </c>
      <c r="B36" s="100">
        <f>B35/30*12/12</f>
        <v>54.835331975000003</v>
      </c>
      <c r="C36" s="101">
        <f>C35/30*12/12</f>
        <v>71.285934374999997</v>
      </c>
      <c r="D36" s="13"/>
    </row>
    <row r="37" spans="1:6" ht="16.5" customHeight="1" x14ac:dyDescent="0.2">
      <c r="A37" s="25" t="s">
        <v>29</v>
      </c>
      <c r="B37" s="102">
        <f>SUM(B35:B36)</f>
        <v>1699.8952912249999</v>
      </c>
      <c r="C37" s="103">
        <f>SUM(C35:C36)</f>
        <v>2209.8639656250002</v>
      </c>
      <c r="D37" s="13"/>
    </row>
    <row r="38" spans="1:6" x14ac:dyDescent="0.2">
      <c r="A38" s="17"/>
      <c r="B38" s="105">
        <f>B37*12</f>
        <v>20398.7434947</v>
      </c>
      <c r="C38" s="105">
        <f>C37*12</f>
        <v>26518.367587500004</v>
      </c>
      <c r="D38" s="13"/>
    </row>
    <row r="39" spans="1:6" x14ac:dyDescent="0.2">
      <c r="A39" s="17"/>
      <c r="B39" s="105"/>
      <c r="C39" s="105"/>
      <c r="D39" s="13"/>
    </row>
    <row r="40" spans="1:6" x14ac:dyDescent="0.2">
      <c r="B40" s="104"/>
      <c r="C40" s="104"/>
      <c r="D40" s="13"/>
    </row>
    <row r="41" spans="1:6" ht="26.25" thickBot="1" x14ac:dyDescent="0.25">
      <c r="A41" s="140" t="s">
        <v>39</v>
      </c>
      <c r="B41" s="141" t="s">
        <v>8</v>
      </c>
      <c r="C41" s="142" t="s">
        <v>10</v>
      </c>
      <c r="D41" s="13"/>
    </row>
    <row r="42" spans="1:6" ht="16.5" customHeight="1" thickTop="1" x14ac:dyDescent="0.2">
      <c r="A42" s="24" t="s">
        <v>12</v>
      </c>
      <c r="B42" s="100">
        <f>(D63)/12</f>
        <v>1548.29133</v>
      </c>
      <c r="C42" s="101">
        <f>(E63)/12</f>
        <v>2012.7787289999999</v>
      </c>
      <c r="D42" s="13"/>
    </row>
    <row r="43" spans="1:6" ht="16.5" customHeight="1" x14ac:dyDescent="0.2">
      <c r="A43" s="24" t="s">
        <v>7</v>
      </c>
      <c r="B43" s="100">
        <f>B42/30*12/12</f>
        <v>51.609710999999997</v>
      </c>
      <c r="C43" s="101">
        <f>C42/30*12/12</f>
        <v>67.092624299999997</v>
      </c>
      <c r="D43" s="13"/>
    </row>
    <row r="44" spans="1:6" ht="16.5" customHeight="1" x14ac:dyDescent="0.2">
      <c r="A44" s="25" t="s">
        <v>29</v>
      </c>
      <c r="B44" s="102">
        <f>SUM(B42:B43)</f>
        <v>1599.9010410000001</v>
      </c>
      <c r="C44" s="103">
        <f>SUM(C42:C43)</f>
        <v>2079.8713533</v>
      </c>
      <c r="D44" s="13"/>
    </row>
    <row r="45" spans="1:6" x14ac:dyDescent="0.2">
      <c r="A45" s="17"/>
      <c r="B45" s="105">
        <f>B44*12</f>
        <v>19198.812492000001</v>
      </c>
      <c r="C45" s="105">
        <f>C44*12</f>
        <v>24958.4562396</v>
      </c>
      <c r="D45" s="13"/>
    </row>
    <row r="46" spans="1:6" x14ac:dyDescent="0.2">
      <c r="A46" s="17"/>
      <c r="B46" s="105"/>
      <c r="C46" s="105"/>
      <c r="D46" s="13"/>
    </row>
    <row r="47" spans="1:6" x14ac:dyDescent="0.2">
      <c r="A47" s="12"/>
      <c r="B47" s="88"/>
      <c r="C47" s="88"/>
      <c r="D47" s="13"/>
    </row>
    <row r="48" spans="1:6" ht="26.25" thickBot="1" x14ac:dyDescent="0.25">
      <c r="A48" s="140" t="s">
        <v>96</v>
      </c>
      <c r="B48" s="141" t="s">
        <v>8</v>
      </c>
      <c r="C48" s="142" t="s">
        <v>10</v>
      </c>
      <c r="D48" s="13"/>
    </row>
    <row r="49" spans="1:11" ht="16.5" customHeight="1" thickTop="1" x14ac:dyDescent="0.2">
      <c r="A49" s="24" t="s">
        <v>12</v>
      </c>
      <c r="B49" s="100">
        <f>(D64)/12</f>
        <v>1451.523543</v>
      </c>
      <c r="C49" s="101">
        <f>(E64)/12</f>
        <v>1886.9811112499999</v>
      </c>
    </row>
    <row r="50" spans="1:11" ht="16.5" customHeight="1" x14ac:dyDescent="0.2">
      <c r="A50" s="24" t="s">
        <v>2</v>
      </c>
      <c r="B50" s="100">
        <f>B49/30*12/12</f>
        <v>48.384118100000002</v>
      </c>
      <c r="C50" s="101">
        <f>C49/30*12/12</f>
        <v>62.899370374999997</v>
      </c>
      <c r="D50" s="19"/>
    </row>
    <row r="51" spans="1:11" ht="16.5" customHeight="1" x14ac:dyDescent="0.2">
      <c r="A51" s="25" t="s">
        <v>29</v>
      </c>
      <c r="B51" s="102">
        <f>SUM(B49:B50)</f>
        <v>1499.9076611</v>
      </c>
      <c r="C51" s="103">
        <f>SUM(C49:C50)</f>
        <v>1949.8804816249999</v>
      </c>
      <c r="D51" s="20"/>
    </row>
    <row r="52" spans="1:11" x14ac:dyDescent="0.2">
      <c r="B52" s="99">
        <f>B51*12</f>
        <v>17998.8919332</v>
      </c>
      <c r="C52" s="99">
        <f>C51*12</f>
        <v>23398.565779500001</v>
      </c>
      <c r="D52" s="18"/>
    </row>
    <row r="54" spans="1:11" ht="13.5" thickBot="1" x14ac:dyDescent="0.25"/>
    <row r="55" spans="1:11" ht="12.75" customHeight="1" x14ac:dyDescent="0.2">
      <c r="A55" s="313" t="s">
        <v>114</v>
      </c>
      <c r="B55" s="313"/>
      <c r="C55" s="315"/>
      <c r="D55" s="28" t="s">
        <v>18</v>
      </c>
      <c r="E55" s="28" t="s">
        <v>18</v>
      </c>
      <c r="G55" s="313" t="s">
        <v>113</v>
      </c>
      <c r="H55" s="313"/>
      <c r="I55" s="326"/>
      <c r="J55" s="110" t="s">
        <v>18</v>
      </c>
      <c r="K55" s="110" t="s">
        <v>18</v>
      </c>
    </row>
    <row r="56" spans="1:11" ht="28.9" customHeight="1" thickBot="1" x14ac:dyDescent="0.25">
      <c r="A56" s="314"/>
      <c r="B56" s="314"/>
      <c r="C56" s="316"/>
      <c r="D56" s="29" t="s">
        <v>19</v>
      </c>
      <c r="E56" s="29" t="s">
        <v>20</v>
      </c>
      <c r="G56" s="314"/>
      <c r="H56" s="314"/>
      <c r="I56" s="327"/>
      <c r="J56" s="111" t="s">
        <v>19</v>
      </c>
      <c r="K56" s="111" t="s">
        <v>20</v>
      </c>
    </row>
    <row r="57" spans="1:11" ht="15" thickBot="1" x14ac:dyDescent="0.25">
      <c r="A57" s="317" t="s">
        <v>21</v>
      </c>
      <c r="B57" s="318"/>
      <c r="C57" s="318"/>
      <c r="D57" s="318"/>
      <c r="E57" s="319"/>
      <c r="G57" s="328" t="s">
        <v>21</v>
      </c>
      <c r="H57" s="329"/>
      <c r="I57" s="329"/>
      <c r="J57" s="329"/>
      <c r="K57" s="330"/>
    </row>
    <row r="58" spans="1:11" ht="18" customHeight="1" x14ac:dyDescent="0.2">
      <c r="A58" s="310"/>
      <c r="B58" s="308" t="s">
        <v>41</v>
      </c>
      <c r="C58" s="309"/>
      <c r="D58" s="107">
        <f>1.07%*J58+J58</f>
        <v>32514.128036999999</v>
      </c>
      <c r="E58" s="107">
        <f>1.07%*K58+K58</f>
        <v>42268.363416</v>
      </c>
      <c r="G58" s="331"/>
      <c r="H58" s="308" t="s">
        <v>41</v>
      </c>
      <c r="I58" s="309"/>
      <c r="J58" s="107">
        <v>32169.91</v>
      </c>
      <c r="K58" s="107">
        <v>41820.879999999997</v>
      </c>
    </row>
    <row r="59" spans="1:11" ht="18" customHeight="1" x14ac:dyDescent="0.2">
      <c r="A59" s="310"/>
      <c r="B59" s="308" t="s">
        <v>42</v>
      </c>
      <c r="C59" s="309"/>
      <c r="D59" s="107">
        <f>1.07%*J59+J59</f>
        <v>26708.040603000001</v>
      </c>
      <c r="E59" s="107">
        <f>1.07%*K59+K59</f>
        <v>34720.435601999998</v>
      </c>
      <c r="G59" s="331"/>
      <c r="H59" s="308" t="s">
        <v>42</v>
      </c>
      <c r="I59" s="309"/>
      <c r="J59" s="107">
        <v>26425.29</v>
      </c>
      <c r="K59" s="107">
        <v>34352.86</v>
      </c>
    </row>
    <row r="60" spans="1:11" ht="18" customHeight="1" thickBot="1" x14ac:dyDescent="0.25">
      <c r="A60" s="310"/>
      <c r="B60" s="308" t="s">
        <v>22</v>
      </c>
      <c r="C60" s="309"/>
      <c r="D60" s="135"/>
      <c r="E60" s="107"/>
      <c r="G60" s="331"/>
      <c r="H60" s="308" t="s">
        <v>22</v>
      </c>
      <c r="I60" s="309"/>
      <c r="J60" s="107"/>
      <c r="K60" s="107"/>
    </row>
    <row r="61" spans="1:11" ht="15" thickBot="1" x14ac:dyDescent="0.25">
      <c r="A61" s="317" t="s">
        <v>23</v>
      </c>
      <c r="B61" s="318"/>
      <c r="C61" s="318"/>
      <c r="D61" s="320"/>
      <c r="E61" s="319"/>
      <c r="G61" s="328" t="s">
        <v>23</v>
      </c>
      <c r="H61" s="329"/>
      <c r="I61" s="329"/>
      <c r="J61" s="329"/>
      <c r="K61" s="330"/>
    </row>
    <row r="62" spans="1:11" ht="18" customHeight="1" thickBot="1" x14ac:dyDescent="0.25">
      <c r="A62" s="310"/>
      <c r="B62" s="322" t="s">
        <v>24</v>
      </c>
      <c r="C62" s="322"/>
      <c r="D62" s="108">
        <f>1.07%*J62+J62</f>
        <v>19740.719510999999</v>
      </c>
      <c r="E62" s="108">
        <f>1.07%*K62+K62</f>
        <v>25662.936375000001</v>
      </c>
      <c r="G62" s="331"/>
      <c r="H62" s="322" t="s">
        <v>24</v>
      </c>
      <c r="I62" s="322"/>
      <c r="J62" s="108">
        <v>19531.73</v>
      </c>
      <c r="K62" s="108">
        <v>25391.25</v>
      </c>
    </row>
    <row r="63" spans="1:11" ht="18" customHeight="1" thickBot="1" x14ac:dyDescent="0.25">
      <c r="A63" s="310"/>
      <c r="B63" s="323" t="s">
        <v>25</v>
      </c>
      <c r="C63" s="323"/>
      <c r="D63" s="109">
        <f>1.07%*J63+J63</f>
        <v>18579.49596</v>
      </c>
      <c r="E63" s="108">
        <f t="shared" ref="E63:E64" si="0">1.07%*K63+K63</f>
        <v>24153.344748</v>
      </c>
      <c r="G63" s="331"/>
      <c r="H63" s="323" t="s">
        <v>25</v>
      </c>
      <c r="I63" s="323"/>
      <c r="J63" s="210">
        <v>18382.8</v>
      </c>
      <c r="K63" s="210">
        <v>23897.64</v>
      </c>
    </row>
    <row r="64" spans="1:11" ht="18" customHeight="1" x14ac:dyDescent="0.2">
      <c r="A64" s="310"/>
      <c r="B64" s="324" t="s">
        <v>26</v>
      </c>
      <c r="C64" s="324"/>
      <c r="D64" s="109">
        <f>1.07%*J64+J64</f>
        <v>17418.282515999999</v>
      </c>
      <c r="E64" s="108">
        <f t="shared" si="0"/>
        <v>22643.773334999998</v>
      </c>
      <c r="G64" s="331"/>
      <c r="H64" s="324" t="s">
        <v>26</v>
      </c>
      <c r="I64" s="324"/>
      <c r="J64" s="109">
        <v>17233.88</v>
      </c>
      <c r="K64" s="109">
        <v>22404.05</v>
      </c>
    </row>
    <row r="65" spans="1:11" ht="18" customHeight="1" x14ac:dyDescent="0.2">
      <c r="A65" s="310"/>
      <c r="B65" s="324" t="s">
        <v>27</v>
      </c>
      <c r="C65" s="324"/>
      <c r="D65" s="30"/>
      <c r="E65" s="30"/>
      <c r="G65" s="331"/>
      <c r="H65" s="324" t="s">
        <v>27</v>
      </c>
      <c r="I65" s="324"/>
      <c r="J65" s="30"/>
      <c r="K65" s="30"/>
    </row>
    <row r="66" spans="1:11" ht="18" customHeight="1" thickBot="1" x14ac:dyDescent="0.25">
      <c r="A66" s="321"/>
      <c r="B66" s="325" t="s">
        <v>28</v>
      </c>
      <c r="C66" s="325"/>
      <c r="D66" s="31"/>
      <c r="E66" s="31"/>
      <c r="G66" s="332"/>
      <c r="H66" s="325" t="s">
        <v>28</v>
      </c>
      <c r="I66" s="325"/>
      <c r="J66" s="31"/>
      <c r="K66" s="31"/>
    </row>
  </sheetData>
  <mergeCells count="30">
    <mergeCell ref="G61:K61"/>
    <mergeCell ref="G62:G66"/>
    <mergeCell ref="H62:I62"/>
    <mergeCell ref="H63:I63"/>
    <mergeCell ref="H64:I64"/>
    <mergeCell ref="H65:I65"/>
    <mergeCell ref="H66:I66"/>
    <mergeCell ref="I55:I56"/>
    <mergeCell ref="G57:K57"/>
    <mergeCell ref="G58:G60"/>
    <mergeCell ref="H58:I58"/>
    <mergeCell ref="H59:I59"/>
    <mergeCell ref="H60:I60"/>
    <mergeCell ref="G55:H56"/>
    <mergeCell ref="A61:E61"/>
    <mergeCell ref="A62:A66"/>
    <mergeCell ref="B62:C62"/>
    <mergeCell ref="B63:C63"/>
    <mergeCell ref="B64:C64"/>
    <mergeCell ref="B65:C65"/>
    <mergeCell ref="B66:C66"/>
    <mergeCell ref="B60:C60"/>
    <mergeCell ref="B59:C59"/>
    <mergeCell ref="B58:C58"/>
    <mergeCell ref="A58:A60"/>
    <mergeCell ref="E13:F13"/>
    <mergeCell ref="A55:B56"/>
    <mergeCell ref="C55:C56"/>
    <mergeCell ref="A57:E57"/>
    <mergeCell ref="E25:F25"/>
  </mergeCells>
  <phoneticPr fontId="0" type="noConversion"/>
  <pageMargins left="0.74803149606299213" right="0.3149606299212598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INVESTIGADOR SENIOR</vt:lpstr>
      <vt:lpstr>INVESTIGADOR JUNIOR</vt:lpstr>
      <vt:lpstr>INVEST. EN FORMACIÓN-PRÁCTICAS</vt:lpstr>
      <vt:lpstr>TITULADOS SUPERIORES I</vt:lpstr>
      <vt:lpstr>TITULADOS SUPERIORES II</vt:lpstr>
      <vt:lpstr>TITULADOS DE GRADO MEDIO</vt:lpstr>
      <vt:lpstr>ESPECIALISTAS TECNICOS</vt:lpstr>
      <vt:lpstr>AUXILIARES</vt:lpstr>
      <vt:lpstr>PARAMETROS</vt:lpstr>
      <vt:lpstr>AUXILIARES!Área_de_impresión</vt:lpstr>
      <vt:lpstr>'INVEST. EN FORMACIÓN-PRÁCTICAS'!Área_de_impresión</vt:lpstr>
      <vt:lpstr>'INVESTIGADOR JUNIOR'!Área_de_impresión</vt:lpstr>
      <vt:lpstr>'INVESTIGADOR SENIOR'!Área_de_impresión</vt:lpstr>
      <vt:lpstr>'TITULADOS DE GRADO MEDIO'!Área_de_impresión</vt:lpstr>
      <vt:lpstr>'TITULADOS SUPERIORES I'!Área_de_impresión</vt:lpstr>
      <vt:lpstr>'TITULADOS SUPERIORES II'!Área_de_impresión</vt:lpstr>
      <vt:lpstr>AUXILIARES!Títulos_a_imprimir</vt:lpstr>
      <vt:lpstr>'INVEST. EN FORMACIÓN-PRÁCTICAS'!Títulos_a_imprimir</vt:lpstr>
      <vt:lpstr>'INVESTIGADOR JUNIOR'!Títulos_a_imprimir</vt:lpstr>
      <vt:lpstr>'INVESTIGADOR SENIOR'!Títulos_a_imprimir</vt:lpstr>
      <vt:lpstr>'TITULADOS DE GRADO MEDIO'!Títulos_a_imprimir</vt:lpstr>
      <vt:lpstr>'TITULADOS SUPERIORES I'!Títulos_a_imprimir</vt:lpstr>
      <vt:lpstr>'TITULADOS SUPERIORES II'!Títulos_a_imprimir</vt:lpstr>
    </vt:vector>
  </TitlesOfParts>
  <Company>oscar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gcremades@umh.es</dc:creator>
  <cp:lastModifiedBy>Fuentes Garcia, Susana</cp:lastModifiedBy>
  <cp:lastPrinted>2023-02-20T09:51:06Z</cp:lastPrinted>
  <dcterms:created xsi:type="dcterms:W3CDTF">2003-11-11T19:24:53Z</dcterms:created>
  <dcterms:modified xsi:type="dcterms:W3CDTF">2025-03-04T12:51:50Z</dcterms:modified>
</cp:coreProperties>
</file>