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+General\ESTADISTICAS ISA\PRESUPUESTOS\PRESUPUESTOS 2025\Anexo Presupuesto I+D  01.01.25\2. Actualización MEI, bases y SMI 2025\"/>
    </mc:Choice>
  </mc:AlternateContent>
  <xr:revisionPtr revIDLastSave="0" documentId="8_{93593C52-7F97-476A-8D91-A98577731768}" xr6:coauthVersionLast="47" xr6:coauthVersionMax="47" xr10:uidLastSave="{00000000-0000-0000-0000-000000000000}"/>
  <workbookProtection workbookAlgorithmName="SHA-512" workbookHashValue="z1KAMB0ZiB9WSg8PYwsBz6/c5Ny2DGSZ4kKoYWxd8J8Nd+J2QU6EjT0GQgrkCECDB3rBeh8B4ufClFbVzeKZ7Q==" workbookSaltValue="GRxRDY7O8NuBshCpYLmKFA==" workbookSpinCount="100000" lockStructure="1"/>
  <bookViews>
    <workbookView xWindow="-120" yWindow="-120" windowWidth="29040" windowHeight="15840" tabRatio="859" activeTab="7" xr2:uid="{00000000-000D-0000-FFFF-FFFF00000000}"/>
  </bookViews>
  <sheets>
    <sheet name="INVESTIGADOR SENIOR" sheetId="7" r:id="rId1"/>
    <sheet name="INVESTIGADOR JUNIOR" sheetId="13" r:id="rId2"/>
    <sheet name="INVEST. EN FORMACIÓN-PRÁCTICAS" sheetId="14" state="hidden" r:id="rId3"/>
    <sheet name="TITULADOS SUPERIORES I" sheetId="12" r:id="rId4"/>
    <sheet name="TITULADOS SUPERIORES II" sheetId="11" r:id="rId5"/>
    <sheet name="TITULADOS DE GRADO MEDIO" sheetId="5" r:id="rId6"/>
    <sheet name="ESPECIALISTAS TECNICOS" sheetId="4" r:id="rId7"/>
    <sheet name="AUXILIARES" sheetId="2" r:id="rId8"/>
    <sheet name="PARAMETROS" sheetId="3" state="hidden" r:id="rId9"/>
  </sheets>
  <definedNames>
    <definedName name="_xlnm.Print_Area" localSheetId="7">AUXILIARES!$A$2:$D$39</definedName>
    <definedName name="_xlnm.Print_Area" localSheetId="2">'INVEST. EN FORMACIÓN-PRÁCTICAS'!$A$2:$C$10</definedName>
    <definedName name="_xlnm.Print_Area" localSheetId="1">'INVESTIGADOR JUNIOR'!$A$2:$G$40</definedName>
    <definedName name="_xlnm.Print_Area" localSheetId="0">'INVESTIGADOR SENIOR'!$A$2:$G$40</definedName>
    <definedName name="_xlnm.Print_Area" localSheetId="5">'TITULADOS DE GRADO MEDIO'!$A$2:$G$40</definedName>
    <definedName name="_xlnm.Print_Area" localSheetId="3">'TITULADOS SUPERIORES I'!$A$2:$G$40</definedName>
    <definedName name="_xlnm.Print_Area" localSheetId="4">'TITULADOS SUPERIORES II'!$A$2:$G$40</definedName>
    <definedName name="RETRIBUCION">#REF!</definedName>
    <definedName name="_xlnm.Print_Titles" localSheetId="7">AUXILIARES!$2:$2</definedName>
    <definedName name="_xlnm.Print_Titles" localSheetId="2">'INVEST. EN FORMACIÓN-PRÁCTICAS'!$2:$3</definedName>
    <definedName name="_xlnm.Print_Titles" localSheetId="1">'INVESTIGADOR JUNIOR'!$2:$3</definedName>
    <definedName name="_xlnm.Print_Titles" localSheetId="0">'INVESTIGADOR SENIOR'!$2:$3</definedName>
    <definedName name="_xlnm.Print_Titles" localSheetId="5">'TITULADOS DE GRADO MEDIO'!$2:$3</definedName>
    <definedName name="_xlnm.Print_Titles" localSheetId="3">'TITULADOS SUPERIORES I'!$2:$3</definedName>
    <definedName name="_xlnm.Print_Titles" localSheetId="4">'TITULADOS SUPERIORES II'!$2:$3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3" l="1"/>
  <c r="F20" i="3"/>
  <c r="E63" i="3" l="1"/>
  <c r="E64" i="3"/>
  <c r="E62" i="3"/>
  <c r="D63" i="3"/>
  <c r="D64" i="3"/>
  <c r="D62" i="3"/>
  <c r="E59" i="3"/>
  <c r="E58" i="3"/>
  <c r="D59" i="3"/>
  <c r="D58" i="3"/>
  <c r="M11" i="14"/>
  <c r="O11" i="14" s="1"/>
  <c r="M9" i="14"/>
  <c r="O9" i="14" s="1"/>
  <c r="G9" i="14"/>
  <c r="N13" i="14"/>
  <c r="O13" i="14" l="1"/>
  <c r="B8" i="14"/>
  <c r="C8" i="14" s="1"/>
  <c r="B7" i="14"/>
  <c r="D7" i="14" s="1"/>
  <c r="B6" i="14"/>
  <c r="D6" i="14" s="1"/>
  <c r="B5" i="14"/>
  <c r="D5" i="14" s="1"/>
  <c r="D4" i="14"/>
  <c r="C4" i="14"/>
  <c r="C5" i="14" l="1"/>
  <c r="C6" i="14"/>
  <c r="C7" i="14"/>
  <c r="D8" i="14"/>
  <c r="B10" i="14"/>
  <c r="D10" i="14" s="1"/>
  <c r="F32" i="2"/>
  <c r="F32" i="4"/>
  <c r="I32" i="5"/>
  <c r="I32" i="11"/>
  <c r="I32" i="12"/>
  <c r="I32" i="13"/>
  <c r="I32" i="7"/>
  <c r="C10" i="14" l="1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B14" i="3" l="1"/>
  <c r="B15" i="3" s="1"/>
  <c r="G22" i="14" l="1"/>
  <c r="I22" i="14" s="1"/>
  <c r="G11" i="14"/>
  <c r="G20" i="14"/>
  <c r="H24" i="14"/>
  <c r="H13" i="14" l="1"/>
  <c r="I11" i="14"/>
  <c r="J11" i="14" s="1"/>
  <c r="I9" i="14"/>
  <c r="J9" i="14" s="1"/>
  <c r="J13" i="14" l="1"/>
  <c r="I13" i="14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" i="2"/>
  <c r="H18" i="4" l="1"/>
  <c r="H18" i="2"/>
  <c r="G32" i="2"/>
  <c r="I32" i="2" s="1"/>
  <c r="I34" i="2" s="1"/>
  <c r="G16" i="2"/>
  <c r="I16" i="2" s="1"/>
  <c r="G14" i="2"/>
  <c r="I14" i="2" s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" i="4"/>
  <c r="G32" i="4"/>
  <c r="I32" i="4" s="1"/>
  <c r="I34" i="4" s="1"/>
  <c r="G14" i="4"/>
  <c r="I14" i="4" s="1"/>
  <c r="G16" i="4"/>
  <c r="I16" i="4" s="1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5" i="5"/>
  <c r="J32" i="5"/>
  <c r="L32" i="5" s="1"/>
  <c r="L34" i="5" s="1"/>
  <c r="K18" i="5"/>
  <c r="J16" i="5"/>
  <c r="L16" i="5" s="1"/>
  <c r="J14" i="5"/>
  <c r="L14" i="5" s="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5" i="11"/>
  <c r="J32" i="11"/>
  <c r="L32" i="11" s="1"/>
  <c r="L34" i="11" s="1"/>
  <c r="K18" i="11"/>
  <c r="J16" i="11"/>
  <c r="L16" i="11" s="1"/>
  <c r="J14" i="11"/>
  <c r="L14" i="11" s="1"/>
  <c r="J32" i="12"/>
  <c r="L32" i="12" s="1"/>
  <c r="L34" i="12" s="1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5" i="12"/>
  <c r="K18" i="12"/>
  <c r="J16" i="12"/>
  <c r="L16" i="12" s="1"/>
  <c r="J14" i="12"/>
  <c r="L14" i="12" s="1"/>
  <c r="L18" i="12" l="1"/>
  <c r="L18" i="11"/>
  <c r="I18" i="2"/>
  <c r="I18" i="4"/>
  <c r="L18" i="5"/>
  <c r="J32" i="13"/>
  <c r="L32" i="13" s="1"/>
  <c r="L34" i="13" s="1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5" i="13"/>
  <c r="K18" i="13"/>
  <c r="J16" i="13"/>
  <c r="L16" i="13" s="1"/>
  <c r="J14" i="13"/>
  <c r="L14" i="13" s="1"/>
  <c r="L18" i="13" l="1"/>
  <c r="J32" i="7" l="1"/>
  <c r="L32" i="7" s="1"/>
  <c r="L34" i="7" l="1"/>
  <c r="K18" i="7" l="1"/>
  <c r="J16" i="7" l="1"/>
  <c r="L16" i="7" s="1"/>
  <c r="J14" i="7"/>
  <c r="L14" i="7" s="1"/>
  <c r="L18" i="7" l="1"/>
  <c r="F17" i="3"/>
  <c r="C49" i="3" l="1"/>
  <c r="C50" i="3" s="1"/>
  <c r="B49" i="3"/>
  <c r="C42" i="3"/>
  <c r="B42" i="3"/>
  <c r="C35" i="3"/>
  <c r="C36" i="3" s="1"/>
  <c r="B35" i="3"/>
  <c r="C21" i="3"/>
  <c r="C22" i="3" s="1"/>
  <c r="B21" i="3"/>
  <c r="B22" i="3" s="1"/>
  <c r="C14" i="3"/>
  <c r="C15" i="3" s="1"/>
  <c r="C28" i="3"/>
  <c r="C30" i="3" s="1"/>
  <c r="C4" i="3" s="1"/>
  <c r="B28" i="3"/>
  <c r="B30" i="3" s="1"/>
  <c r="B4" i="3" s="1"/>
  <c r="F29" i="3"/>
  <c r="F33" i="3" s="1"/>
  <c r="C51" i="3" l="1"/>
  <c r="F21" i="3"/>
  <c r="C23" i="3"/>
  <c r="C24" i="3" s="1"/>
  <c r="B43" i="3"/>
  <c r="B44" i="3" s="1"/>
  <c r="C37" i="3"/>
  <c r="C43" i="3"/>
  <c r="C44" i="3" s="1"/>
  <c r="B36" i="3"/>
  <c r="B37" i="3" s="1"/>
  <c r="B50" i="3"/>
  <c r="B51" i="3" s="1"/>
  <c r="B16" i="3"/>
  <c r="C16" i="3"/>
  <c r="B23" i="3"/>
  <c r="B24" i="3" s="1"/>
  <c r="B8" i="3" l="1"/>
  <c r="F34" i="3"/>
  <c r="B9" i="3"/>
  <c r="B3" i="2" s="1"/>
  <c r="F22" i="3"/>
  <c r="C6" i="3"/>
  <c r="F4" i="11" s="1"/>
  <c r="G4" i="11" s="1"/>
  <c r="C45" i="3"/>
  <c r="C5" i="3"/>
  <c r="F4" i="12" s="1"/>
  <c r="F32" i="12" s="1"/>
  <c r="G32" i="12" s="1"/>
  <c r="C38" i="3"/>
  <c r="C7" i="3"/>
  <c r="F4" i="5" s="1"/>
  <c r="F7" i="5" s="1"/>
  <c r="G7" i="5" s="1"/>
  <c r="C52" i="3"/>
  <c r="C2" i="3"/>
  <c r="F4" i="7" s="1"/>
  <c r="C17" i="3"/>
  <c r="B6" i="3"/>
  <c r="B4" i="11" s="1"/>
  <c r="B45" i="3"/>
  <c r="B7" i="3"/>
  <c r="B4" i="5" s="1"/>
  <c r="B22" i="5" s="1"/>
  <c r="D22" i="5" s="1"/>
  <c r="B52" i="3"/>
  <c r="B5" i="3"/>
  <c r="B4" i="12" s="1"/>
  <c r="B25" i="12" s="1"/>
  <c r="D25" i="12" s="1"/>
  <c r="B38" i="3"/>
  <c r="B2" i="3"/>
  <c r="B4" i="7" s="1"/>
  <c r="B21" i="7" s="1"/>
  <c r="D21" i="7" s="1"/>
  <c r="B17" i="3"/>
  <c r="F37" i="5"/>
  <c r="G37" i="5" s="1"/>
  <c r="F20" i="5"/>
  <c r="G20" i="5" s="1"/>
  <c r="F25" i="5"/>
  <c r="G25" i="5" s="1"/>
  <c r="F32" i="5"/>
  <c r="G32" i="5" s="1"/>
  <c r="F17" i="5"/>
  <c r="G17" i="5" s="1"/>
  <c r="F28" i="5"/>
  <c r="G28" i="5" s="1"/>
  <c r="B13" i="4"/>
  <c r="D13" i="4" s="1"/>
  <c r="B12" i="4"/>
  <c r="D12" i="4" s="1"/>
  <c r="B24" i="4"/>
  <c r="D24" i="4" s="1"/>
  <c r="F21" i="5"/>
  <c r="G21" i="5" s="1"/>
  <c r="F36" i="5"/>
  <c r="G36" i="5" s="1"/>
  <c r="B39" i="4"/>
  <c r="D39" i="4" s="1"/>
  <c r="F10" i="5"/>
  <c r="G10" i="5" s="1"/>
  <c r="F20" i="12"/>
  <c r="G20" i="12" s="1"/>
  <c r="F16" i="12"/>
  <c r="G16" i="12" s="1"/>
  <c r="F13" i="5"/>
  <c r="G13" i="5" s="1"/>
  <c r="F40" i="5"/>
  <c r="G40" i="5" s="1"/>
  <c r="F24" i="5"/>
  <c r="G24" i="5" s="1"/>
  <c r="F8" i="5"/>
  <c r="G8" i="5" s="1"/>
  <c r="F19" i="5"/>
  <c r="G19" i="5" s="1"/>
  <c r="F14" i="5"/>
  <c r="G14" i="5" s="1"/>
  <c r="F18" i="5"/>
  <c r="G18" i="5" s="1"/>
  <c r="F34" i="5"/>
  <c r="G34" i="5" s="1"/>
  <c r="F39" i="5"/>
  <c r="G39" i="5" s="1"/>
  <c r="F35" i="5"/>
  <c r="G35" i="5" s="1"/>
  <c r="F6" i="5"/>
  <c r="G6" i="5" s="1"/>
  <c r="B39" i="11"/>
  <c r="D39" i="11" s="1"/>
  <c r="B38" i="11"/>
  <c r="D38" i="11" s="1"/>
  <c r="B36" i="11"/>
  <c r="D36" i="11" s="1"/>
  <c r="B37" i="11"/>
  <c r="D37" i="11" s="1"/>
  <c r="B24" i="11"/>
  <c r="D24" i="11" s="1"/>
  <c r="B8" i="11"/>
  <c r="D8" i="11" s="1"/>
  <c r="B32" i="11"/>
  <c r="D32" i="11" s="1"/>
  <c r="B33" i="11"/>
  <c r="D33" i="11" s="1"/>
  <c r="B20" i="11"/>
  <c r="D20" i="11" s="1"/>
  <c r="B40" i="11"/>
  <c r="D40" i="11" s="1"/>
  <c r="B28" i="11"/>
  <c r="D28" i="11" s="1"/>
  <c r="B35" i="11"/>
  <c r="D35" i="11" s="1"/>
  <c r="B34" i="11"/>
  <c r="D34" i="11" s="1"/>
  <c r="B31" i="11"/>
  <c r="D31" i="11" s="1"/>
  <c r="B30" i="11"/>
  <c r="D30" i="11" s="1"/>
  <c r="B25" i="11"/>
  <c r="D25" i="11" s="1"/>
  <c r="B29" i="11"/>
  <c r="D29" i="11" s="1"/>
  <c r="B16" i="11"/>
  <c r="D16" i="11" s="1"/>
  <c r="B12" i="11"/>
  <c r="D12" i="11" s="1"/>
  <c r="F28" i="12"/>
  <c r="G28" i="12" s="1"/>
  <c r="F12" i="12"/>
  <c r="G12" i="12" s="1"/>
  <c r="F24" i="12"/>
  <c r="G24" i="12" s="1"/>
  <c r="F8" i="12"/>
  <c r="G8" i="12" s="1"/>
  <c r="F36" i="12"/>
  <c r="G36" i="12" s="1"/>
  <c r="F31" i="5"/>
  <c r="G31" i="5" s="1"/>
  <c r="F15" i="5"/>
  <c r="G15" i="5" s="1"/>
  <c r="B34" i="4"/>
  <c r="D34" i="4" s="1"/>
  <c r="B22" i="4"/>
  <c r="D22" i="4" s="1"/>
  <c r="B3" i="4"/>
  <c r="B33" i="4"/>
  <c r="D33" i="4" s="1"/>
  <c r="B16" i="4"/>
  <c r="D16" i="4" s="1"/>
  <c r="B26" i="4"/>
  <c r="D26" i="4" s="1"/>
  <c r="B37" i="4"/>
  <c r="D37" i="4" s="1"/>
  <c r="B15" i="4"/>
  <c r="D15" i="4" s="1"/>
  <c r="B14" i="4"/>
  <c r="D14" i="4" s="1"/>
  <c r="B25" i="4"/>
  <c r="D25" i="4" s="1"/>
  <c r="B36" i="4"/>
  <c r="D36" i="4" s="1"/>
  <c r="B11" i="4"/>
  <c r="D11" i="4" s="1"/>
  <c r="B8" i="4"/>
  <c r="D8" i="4" s="1"/>
  <c r="B18" i="4"/>
  <c r="D18" i="4" s="1"/>
  <c r="B29" i="4"/>
  <c r="D29" i="4" s="1"/>
  <c r="B23" i="4"/>
  <c r="D23" i="4" s="1"/>
  <c r="B17" i="4"/>
  <c r="D17" i="4" s="1"/>
  <c r="B28" i="4"/>
  <c r="D28" i="4" s="1"/>
  <c r="B38" i="4"/>
  <c r="D38" i="4" s="1"/>
  <c r="B27" i="4"/>
  <c r="D27" i="4" s="1"/>
  <c r="B10" i="4"/>
  <c r="D10" i="4" s="1"/>
  <c r="B21" i="4"/>
  <c r="D21" i="4" s="1"/>
  <c r="B32" i="4"/>
  <c r="D32" i="4" s="1"/>
  <c r="B31" i="4"/>
  <c r="D31" i="4" s="1"/>
  <c r="B9" i="4"/>
  <c r="D9" i="4" s="1"/>
  <c r="B20" i="4"/>
  <c r="D20" i="4" s="1"/>
  <c r="B30" i="4"/>
  <c r="D30" i="4" s="1"/>
  <c r="B19" i="4"/>
  <c r="D19" i="4" s="1"/>
  <c r="B30" i="2"/>
  <c r="D30" i="2" s="1"/>
  <c r="B25" i="2"/>
  <c r="D25" i="2" s="1"/>
  <c r="B12" i="2"/>
  <c r="D12" i="2" s="1"/>
  <c r="B9" i="2"/>
  <c r="D9" i="2" s="1"/>
  <c r="B14" i="2"/>
  <c r="D14" i="2" s="1"/>
  <c r="B28" i="2"/>
  <c r="D28" i="2" s="1"/>
  <c r="B8" i="2"/>
  <c r="D8" i="2" s="1"/>
  <c r="B24" i="2"/>
  <c r="D24" i="2" s="1"/>
  <c r="B37" i="2"/>
  <c r="D37" i="2" s="1"/>
  <c r="B21" i="2"/>
  <c r="D21" i="2" s="1"/>
  <c r="B5" i="2"/>
  <c r="D5" i="2" s="1"/>
  <c r="B26" i="2"/>
  <c r="D26" i="2" s="1"/>
  <c r="B10" i="2"/>
  <c r="D10" i="2" s="1"/>
  <c r="B15" i="2"/>
  <c r="D15" i="2" s="1"/>
  <c r="B31" i="2"/>
  <c r="D31" i="2" s="1"/>
  <c r="B11" i="2"/>
  <c r="D11" i="2" s="1"/>
  <c r="B32" i="2"/>
  <c r="D32" i="2" s="1"/>
  <c r="B33" i="2"/>
  <c r="D33" i="2" s="1"/>
  <c r="B17" i="2"/>
  <c r="D17" i="2" s="1"/>
  <c r="B38" i="2"/>
  <c r="D38" i="2" s="1"/>
  <c r="B22" i="2"/>
  <c r="D22" i="2" s="1"/>
  <c r="B6" i="2"/>
  <c r="D6" i="2" s="1"/>
  <c r="B4" i="2"/>
  <c r="D4" i="2" s="1"/>
  <c r="B20" i="2"/>
  <c r="D20" i="2" s="1"/>
  <c r="B36" i="2"/>
  <c r="D36" i="2" s="1"/>
  <c r="B16" i="2"/>
  <c r="D16" i="2" s="1"/>
  <c r="B35" i="2"/>
  <c r="D35" i="2" s="1"/>
  <c r="B29" i="2"/>
  <c r="D29" i="2" s="1"/>
  <c r="B13" i="2"/>
  <c r="D13" i="2" s="1"/>
  <c r="B34" i="2"/>
  <c r="D34" i="2" s="1"/>
  <c r="B18" i="2"/>
  <c r="D18" i="2" s="1"/>
  <c r="B7" i="2"/>
  <c r="D7" i="2" s="1"/>
  <c r="B23" i="2"/>
  <c r="D23" i="2" s="1"/>
  <c r="B39" i="2"/>
  <c r="D39" i="2" s="1"/>
  <c r="B19" i="2"/>
  <c r="D19" i="2" s="1"/>
  <c r="B27" i="2"/>
  <c r="D27" i="2" s="1"/>
  <c r="B34" i="5"/>
  <c r="D34" i="5" s="1"/>
  <c r="B30" i="5"/>
  <c r="D30" i="5" s="1"/>
  <c r="B26" i="5"/>
  <c r="D26" i="5" s="1"/>
  <c r="B6" i="5"/>
  <c r="D6" i="5" s="1"/>
  <c r="B9" i="5"/>
  <c r="D9" i="5" s="1"/>
  <c r="B25" i="5"/>
  <c r="D25" i="5" s="1"/>
  <c r="B40" i="5"/>
  <c r="D40" i="5" s="1"/>
  <c r="B24" i="5"/>
  <c r="D24" i="5" s="1"/>
  <c r="B8" i="5"/>
  <c r="D8" i="5" s="1"/>
  <c r="B31" i="5"/>
  <c r="D31" i="5" s="1"/>
  <c r="B15" i="5"/>
  <c r="D15" i="5" s="1"/>
  <c r="B28" i="5"/>
  <c r="D28" i="5" s="1"/>
  <c r="B19" i="5"/>
  <c r="D19" i="5" s="1"/>
  <c r="B13" i="5"/>
  <c r="D13" i="5" s="1"/>
  <c r="B29" i="5"/>
  <c r="D29" i="5" s="1"/>
  <c r="B36" i="5"/>
  <c r="D36" i="5" s="1"/>
  <c r="B20" i="5"/>
  <c r="D20" i="5" s="1"/>
  <c r="B27" i="5"/>
  <c r="D27" i="5" s="1"/>
  <c r="B11" i="5"/>
  <c r="D11" i="5" s="1"/>
  <c r="B5" i="5"/>
  <c r="D5" i="5" s="1"/>
  <c r="B21" i="5"/>
  <c r="D21" i="5" s="1"/>
  <c r="B37" i="5"/>
  <c r="D37" i="5" s="1"/>
  <c r="B35" i="5"/>
  <c r="D35" i="5" s="1"/>
  <c r="B17" i="5"/>
  <c r="D17" i="5" s="1"/>
  <c r="B33" i="5"/>
  <c r="D33" i="5" s="1"/>
  <c r="B32" i="5"/>
  <c r="D32" i="5" s="1"/>
  <c r="B16" i="5"/>
  <c r="D16" i="5" s="1"/>
  <c r="B39" i="5"/>
  <c r="D39" i="5" s="1"/>
  <c r="B23" i="5"/>
  <c r="D23" i="5" s="1"/>
  <c r="B7" i="5"/>
  <c r="D7" i="5" s="1"/>
  <c r="B12" i="5"/>
  <c r="D12" i="5" s="1"/>
  <c r="B7" i="12"/>
  <c r="D7" i="12" s="1"/>
  <c r="B20" i="12"/>
  <c r="D20" i="12" s="1"/>
  <c r="B13" i="12"/>
  <c r="D13" i="12" s="1"/>
  <c r="B35" i="12"/>
  <c r="D35" i="12" s="1"/>
  <c r="B21" i="12"/>
  <c r="D21" i="12" s="1"/>
  <c r="B37" i="12"/>
  <c r="D37" i="12" s="1"/>
  <c r="B15" i="12"/>
  <c r="D15" i="12" s="1"/>
  <c r="B17" i="12"/>
  <c r="D17" i="12" s="1"/>
  <c r="B8" i="12"/>
  <c r="D8" i="12" s="1"/>
  <c r="F27" i="11"/>
  <c r="G27" i="11" s="1"/>
  <c r="F34" i="11"/>
  <c r="G34" i="11" s="1"/>
  <c r="F14" i="11"/>
  <c r="G14" i="11" s="1"/>
  <c r="F6" i="11"/>
  <c r="G6" i="11" s="1"/>
  <c r="F30" i="11"/>
  <c r="G30" i="11" s="1"/>
  <c r="F18" i="11"/>
  <c r="G18" i="11" s="1"/>
  <c r="F10" i="11"/>
  <c r="G10" i="11" s="1"/>
  <c r="F38" i="11"/>
  <c r="G38" i="11" s="1"/>
  <c r="F23" i="11"/>
  <c r="G23" i="11" s="1"/>
  <c r="F32" i="11"/>
  <c r="G32" i="11" s="1"/>
  <c r="F35" i="11"/>
  <c r="G35" i="11" s="1"/>
  <c r="F25" i="11"/>
  <c r="G25" i="11" s="1"/>
  <c r="F9" i="11"/>
  <c r="G9" i="11" s="1"/>
  <c r="F8" i="11"/>
  <c r="G8" i="11" s="1"/>
  <c r="F16" i="11"/>
  <c r="G16" i="11" s="1"/>
  <c r="F33" i="11"/>
  <c r="G33" i="11" s="1"/>
  <c r="F22" i="11"/>
  <c r="G22" i="11" s="1"/>
  <c r="F15" i="11"/>
  <c r="G15" i="11" s="1"/>
  <c r="F24" i="11"/>
  <c r="G24" i="11" s="1"/>
  <c r="F28" i="11"/>
  <c r="G28" i="11" s="1"/>
  <c r="F31" i="11"/>
  <c r="G31" i="11" s="1"/>
  <c r="F21" i="11"/>
  <c r="G21" i="11" s="1"/>
  <c r="F5" i="11"/>
  <c r="G5" i="11" s="1"/>
  <c r="F11" i="11"/>
  <c r="G11" i="11" s="1"/>
  <c r="F19" i="11"/>
  <c r="G19" i="11" s="1"/>
  <c r="F37" i="11"/>
  <c r="G37" i="11" s="1"/>
  <c r="F36" i="11"/>
  <c r="G36" i="11" s="1"/>
  <c r="F13" i="11"/>
  <c r="G13" i="11" s="1"/>
  <c r="F29" i="11"/>
  <c r="G29" i="11" s="1"/>
  <c r="F40" i="11"/>
  <c r="G40" i="11" s="1"/>
  <c r="F26" i="11"/>
  <c r="G26" i="11" s="1"/>
  <c r="F17" i="11"/>
  <c r="G17" i="11" s="1"/>
  <c r="F12" i="11"/>
  <c r="G12" i="11" s="1"/>
  <c r="F20" i="11"/>
  <c r="G20" i="11" s="1"/>
  <c r="F39" i="11"/>
  <c r="G39" i="11" s="1"/>
  <c r="F7" i="11"/>
  <c r="G7" i="11" s="1"/>
  <c r="F4" i="13"/>
  <c r="G4" i="13" s="1"/>
  <c r="C3" i="3"/>
  <c r="B4" i="13"/>
  <c r="B3" i="3"/>
  <c r="B26" i="11"/>
  <c r="D26" i="11" s="1"/>
  <c r="B23" i="11"/>
  <c r="D23" i="11" s="1"/>
  <c r="B18" i="11"/>
  <c r="D18" i="11" s="1"/>
  <c r="B10" i="11"/>
  <c r="D10" i="11" s="1"/>
  <c r="B21" i="11"/>
  <c r="D21" i="11" s="1"/>
  <c r="B19" i="11"/>
  <c r="D19" i="11" s="1"/>
  <c r="B13" i="11"/>
  <c r="D13" i="11" s="1"/>
  <c r="B11" i="11"/>
  <c r="D11" i="11" s="1"/>
  <c r="B5" i="11"/>
  <c r="D5" i="11" s="1"/>
  <c r="B27" i="11"/>
  <c r="D27" i="11" s="1"/>
  <c r="B22" i="11"/>
  <c r="D22" i="11" s="1"/>
  <c r="B14" i="11"/>
  <c r="D14" i="11" s="1"/>
  <c r="B6" i="11"/>
  <c r="D6" i="11" s="1"/>
  <c r="B17" i="11"/>
  <c r="D17" i="11" s="1"/>
  <c r="B9" i="11"/>
  <c r="D9" i="11" s="1"/>
  <c r="B7" i="11"/>
  <c r="D7" i="11" s="1"/>
  <c r="B15" i="11"/>
  <c r="D15" i="11" s="1"/>
  <c r="F40" i="12"/>
  <c r="G40" i="12" s="1"/>
  <c r="F39" i="12"/>
  <c r="G39" i="12" s="1"/>
  <c r="F35" i="12"/>
  <c r="G35" i="12" s="1"/>
  <c r="F31" i="12"/>
  <c r="G31" i="12" s="1"/>
  <c r="F27" i="12"/>
  <c r="G27" i="12" s="1"/>
  <c r="F23" i="12"/>
  <c r="G23" i="12" s="1"/>
  <c r="F19" i="12"/>
  <c r="G19" i="12" s="1"/>
  <c r="F15" i="12"/>
  <c r="G15" i="12" s="1"/>
  <c r="F11" i="12"/>
  <c r="G11" i="12" s="1"/>
  <c r="F7" i="12"/>
  <c r="G7" i="12" s="1"/>
  <c r="F37" i="12"/>
  <c r="G37" i="12" s="1"/>
  <c r="F33" i="12"/>
  <c r="G33" i="12" s="1"/>
  <c r="F29" i="12"/>
  <c r="G29" i="12" s="1"/>
  <c r="F25" i="12"/>
  <c r="G25" i="12" s="1"/>
  <c r="F21" i="12"/>
  <c r="G21" i="12" s="1"/>
  <c r="F17" i="12"/>
  <c r="G17" i="12" s="1"/>
  <c r="F13" i="12"/>
  <c r="G13" i="12" s="1"/>
  <c r="F9" i="12"/>
  <c r="G9" i="12" s="1"/>
  <c r="F5" i="12"/>
  <c r="G5" i="12" s="1"/>
  <c r="F30" i="12"/>
  <c r="G30" i="12" s="1"/>
  <c r="F14" i="12"/>
  <c r="G14" i="12" s="1"/>
  <c r="F18" i="12"/>
  <c r="G18" i="12" s="1"/>
  <c r="F26" i="12"/>
  <c r="G26" i="12" s="1"/>
  <c r="F10" i="12"/>
  <c r="G10" i="12" s="1"/>
  <c r="F38" i="12"/>
  <c r="G38" i="12" s="1"/>
  <c r="F22" i="12"/>
  <c r="G22" i="12" s="1"/>
  <c r="F6" i="12"/>
  <c r="G6" i="12" s="1"/>
  <c r="F34" i="12"/>
  <c r="G34" i="12" s="1"/>
  <c r="B35" i="4" l="1"/>
  <c r="D35" i="4" s="1"/>
  <c r="B6" i="4"/>
  <c r="D6" i="4" s="1"/>
  <c r="B7" i="4"/>
  <c r="D7" i="4" s="1"/>
  <c r="B4" i="4"/>
  <c r="D4" i="4" s="1"/>
  <c r="B5" i="4"/>
  <c r="D5" i="4" s="1"/>
  <c r="B38" i="5"/>
  <c r="D38" i="5" s="1"/>
  <c r="B10" i="5"/>
  <c r="D10" i="5" s="1"/>
  <c r="B14" i="5"/>
  <c r="D14" i="5" s="1"/>
  <c r="B18" i="5"/>
  <c r="D18" i="5" s="1"/>
  <c r="G4" i="5"/>
  <c r="G4" i="12"/>
  <c r="F14" i="7"/>
  <c r="G14" i="7" s="1"/>
  <c r="F16" i="7"/>
  <c r="G16" i="7" s="1"/>
  <c r="B33" i="7"/>
  <c r="D33" i="7" s="1"/>
  <c r="B9" i="7"/>
  <c r="D9" i="7" s="1"/>
  <c r="B5" i="7"/>
  <c r="D5" i="7" s="1"/>
  <c r="F22" i="5"/>
  <c r="G22" i="5" s="1"/>
  <c r="F27" i="5"/>
  <c r="G27" i="5" s="1"/>
  <c r="F38" i="5"/>
  <c r="G38" i="5" s="1"/>
  <c r="F30" i="5"/>
  <c r="G30" i="5" s="1"/>
  <c r="F26" i="5"/>
  <c r="G26" i="5" s="1"/>
  <c r="F33" i="5"/>
  <c r="G33" i="5" s="1"/>
  <c r="F23" i="5"/>
  <c r="G23" i="5" s="1"/>
  <c r="F11" i="5"/>
  <c r="G11" i="5" s="1"/>
  <c r="F5" i="5"/>
  <c r="G5" i="5" s="1"/>
  <c r="F12" i="5"/>
  <c r="G12" i="5" s="1"/>
  <c r="F29" i="5"/>
  <c r="G29" i="5" s="1"/>
  <c r="F16" i="5"/>
  <c r="G16" i="5" s="1"/>
  <c r="F9" i="5"/>
  <c r="G9" i="5" s="1"/>
  <c r="B12" i="12"/>
  <c r="D12" i="12" s="1"/>
  <c r="B32" i="12"/>
  <c r="D32" i="12" s="1"/>
  <c r="B40" i="12"/>
  <c r="D40" i="12" s="1"/>
  <c r="B14" i="12"/>
  <c r="D14" i="12" s="1"/>
  <c r="B24" i="12"/>
  <c r="D24" i="12" s="1"/>
  <c r="B6" i="12"/>
  <c r="D6" i="12" s="1"/>
  <c r="B26" i="12"/>
  <c r="D26" i="12" s="1"/>
  <c r="B29" i="12"/>
  <c r="D29" i="12" s="1"/>
  <c r="B9" i="12"/>
  <c r="D9" i="12" s="1"/>
  <c r="B38" i="12"/>
  <c r="D38" i="12" s="1"/>
  <c r="B31" i="12"/>
  <c r="D31" i="12" s="1"/>
  <c r="B16" i="12"/>
  <c r="D16" i="12" s="1"/>
  <c r="B27" i="12"/>
  <c r="D27" i="12" s="1"/>
  <c r="B23" i="12"/>
  <c r="D23" i="12" s="1"/>
  <c r="B33" i="12"/>
  <c r="D33" i="12" s="1"/>
  <c r="B34" i="12"/>
  <c r="D34" i="12" s="1"/>
  <c r="B10" i="12"/>
  <c r="D10" i="12" s="1"/>
  <c r="B36" i="12"/>
  <c r="D36" i="12" s="1"/>
  <c r="B39" i="12"/>
  <c r="D39" i="12" s="1"/>
  <c r="B28" i="12"/>
  <c r="D28" i="12" s="1"/>
  <c r="B18" i="12"/>
  <c r="D18" i="12" s="1"/>
  <c r="B5" i="12"/>
  <c r="D5" i="12" s="1"/>
  <c r="B30" i="12"/>
  <c r="D30" i="12" s="1"/>
  <c r="B22" i="12"/>
  <c r="D22" i="12" s="1"/>
  <c r="B11" i="12"/>
  <c r="D11" i="12" s="1"/>
  <c r="B19" i="12"/>
  <c r="D19" i="12" s="1"/>
  <c r="B27" i="7"/>
  <c r="D27" i="7" s="1"/>
  <c r="B19" i="7"/>
  <c r="D19" i="7" s="1"/>
  <c r="B34" i="7"/>
  <c r="D34" i="7" s="1"/>
  <c r="B29" i="7"/>
  <c r="D29" i="7" s="1"/>
  <c r="B7" i="7"/>
  <c r="D7" i="7" s="1"/>
  <c r="B10" i="7"/>
  <c r="D10" i="7" s="1"/>
  <c r="B38" i="7"/>
  <c r="D38" i="7" s="1"/>
  <c r="B13" i="7"/>
  <c r="D13" i="7" s="1"/>
  <c r="B28" i="7"/>
  <c r="D28" i="7" s="1"/>
  <c r="B40" i="7"/>
  <c r="D40" i="7" s="1"/>
  <c r="B20" i="7"/>
  <c r="D20" i="7" s="1"/>
  <c r="B32" i="7"/>
  <c r="D32" i="7" s="1"/>
  <c r="B12" i="7"/>
  <c r="D12" i="7" s="1"/>
  <c r="B26" i="7"/>
  <c r="D26" i="7" s="1"/>
  <c r="B39" i="7"/>
  <c r="D39" i="7" s="1"/>
  <c r="B22" i="7"/>
  <c r="D22" i="7" s="1"/>
  <c r="B16" i="7"/>
  <c r="D16" i="7" s="1"/>
  <c r="B31" i="7"/>
  <c r="D31" i="7" s="1"/>
  <c r="B18" i="7"/>
  <c r="D18" i="7" s="1"/>
  <c r="B8" i="7"/>
  <c r="D8" i="7" s="1"/>
  <c r="B25" i="7"/>
  <c r="D25" i="7" s="1"/>
  <c r="B11" i="7"/>
  <c r="D11" i="7" s="1"/>
  <c r="B17" i="7"/>
  <c r="D17" i="7" s="1"/>
  <c r="B36" i="7"/>
  <c r="D36" i="7" s="1"/>
  <c r="B6" i="7"/>
  <c r="D6" i="7" s="1"/>
  <c r="B15" i="7"/>
  <c r="D15" i="7" s="1"/>
  <c r="B30" i="7"/>
  <c r="D30" i="7" s="1"/>
  <c r="B37" i="7"/>
  <c r="D37" i="7" s="1"/>
  <c r="B24" i="7"/>
  <c r="D24" i="7" s="1"/>
  <c r="B23" i="7"/>
  <c r="D23" i="7" s="1"/>
  <c r="B14" i="7"/>
  <c r="D14" i="7" s="1"/>
  <c r="B35" i="7"/>
  <c r="D35" i="7" s="1"/>
  <c r="F12" i="7"/>
  <c r="G12" i="7" s="1"/>
  <c r="F39" i="7"/>
  <c r="G39" i="7" s="1"/>
  <c r="F28" i="7"/>
  <c r="G28" i="7" s="1"/>
  <c r="F20" i="7"/>
  <c r="G20" i="7" s="1"/>
  <c r="F15" i="7"/>
  <c r="G15" i="7" s="1"/>
  <c r="F31" i="7"/>
  <c r="G31" i="7" s="1"/>
  <c r="F7" i="7"/>
  <c r="G7" i="7" s="1"/>
  <c r="F11" i="7"/>
  <c r="G11" i="7" s="1"/>
  <c r="F36" i="7"/>
  <c r="G36" i="7" s="1"/>
  <c r="F5" i="7"/>
  <c r="G5" i="7" s="1"/>
  <c r="F35" i="7"/>
  <c r="G35" i="7" s="1"/>
  <c r="F32" i="7"/>
  <c r="G32" i="7" s="1"/>
  <c r="F24" i="7"/>
  <c r="G24" i="7" s="1"/>
  <c r="F25" i="7"/>
  <c r="G25" i="7" s="1"/>
  <c r="F30" i="7"/>
  <c r="G30" i="7" s="1"/>
  <c r="F19" i="7"/>
  <c r="G19" i="7" s="1"/>
  <c r="F8" i="7"/>
  <c r="G8" i="7" s="1"/>
  <c r="F23" i="7"/>
  <c r="G23" i="7" s="1"/>
  <c r="F27" i="7"/>
  <c r="G27" i="7" s="1"/>
  <c r="F40" i="7"/>
  <c r="G40" i="7" s="1"/>
  <c r="G4" i="7"/>
  <c r="F29" i="7"/>
  <c r="G29" i="7" s="1"/>
  <c r="F6" i="7"/>
  <c r="G6" i="7" s="1"/>
  <c r="F26" i="7"/>
  <c r="G26" i="7" s="1"/>
  <c r="F33" i="7"/>
  <c r="G33" i="7" s="1"/>
  <c r="F22" i="7"/>
  <c r="G22" i="7" s="1"/>
  <c r="F21" i="7"/>
  <c r="G21" i="7" s="1"/>
  <c r="F10" i="7"/>
  <c r="G10" i="7" s="1"/>
  <c r="F34" i="7"/>
  <c r="G34" i="7" s="1"/>
  <c r="F37" i="7"/>
  <c r="G37" i="7" s="1"/>
  <c r="F17" i="7"/>
  <c r="G17" i="7" s="1"/>
  <c r="F18" i="7"/>
  <c r="G18" i="7" s="1"/>
  <c r="F38" i="7"/>
  <c r="G38" i="7" s="1"/>
  <c r="F13" i="7"/>
  <c r="G13" i="7" s="1"/>
  <c r="F9" i="7"/>
  <c r="G9" i="7" s="1"/>
  <c r="B25" i="13"/>
  <c r="D25" i="13" s="1"/>
  <c r="B9" i="13"/>
  <c r="D9" i="13" s="1"/>
  <c r="B8" i="13"/>
  <c r="D8" i="13" s="1"/>
  <c r="B24" i="13"/>
  <c r="D24" i="13" s="1"/>
  <c r="B40" i="13"/>
  <c r="D40" i="13" s="1"/>
  <c r="B23" i="13"/>
  <c r="D23" i="13" s="1"/>
  <c r="B39" i="13"/>
  <c r="D39" i="13" s="1"/>
  <c r="B18" i="13"/>
  <c r="D18" i="13" s="1"/>
  <c r="B34" i="13"/>
  <c r="D34" i="13" s="1"/>
  <c r="B29" i="13"/>
  <c r="D29" i="13" s="1"/>
  <c r="B6" i="13"/>
  <c r="D6" i="13" s="1"/>
  <c r="B36" i="13"/>
  <c r="D36" i="13" s="1"/>
  <c r="B14" i="13"/>
  <c r="D14" i="13" s="1"/>
  <c r="B37" i="13"/>
  <c r="D37" i="13" s="1"/>
  <c r="B21" i="13"/>
  <c r="D21" i="13" s="1"/>
  <c r="B7" i="13"/>
  <c r="D7" i="13" s="1"/>
  <c r="B12" i="13"/>
  <c r="D12" i="13" s="1"/>
  <c r="B28" i="13"/>
  <c r="D28" i="13" s="1"/>
  <c r="B11" i="13"/>
  <c r="D11" i="13" s="1"/>
  <c r="B27" i="13"/>
  <c r="D27" i="13" s="1"/>
  <c r="B22" i="13"/>
  <c r="D22" i="13" s="1"/>
  <c r="B38" i="13"/>
  <c r="D38" i="13" s="1"/>
  <c r="B13" i="13"/>
  <c r="D13" i="13" s="1"/>
  <c r="B20" i="13"/>
  <c r="D20" i="13" s="1"/>
  <c r="B19" i="13"/>
  <c r="D19" i="13" s="1"/>
  <c r="B30" i="13"/>
  <c r="D30" i="13" s="1"/>
  <c r="B33" i="13"/>
  <c r="D33" i="13" s="1"/>
  <c r="B17" i="13"/>
  <c r="D17" i="13" s="1"/>
  <c r="B5" i="13"/>
  <c r="D5" i="13" s="1"/>
  <c r="B16" i="13"/>
  <c r="D16" i="13" s="1"/>
  <c r="B32" i="13"/>
  <c r="D32" i="13" s="1"/>
  <c r="B15" i="13"/>
  <c r="D15" i="13" s="1"/>
  <c r="B31" i="13"/>
  <c r="D31" i="13" s="1"/>
  <c r="B10" i="13"/>
  <c r="D10" i="13" s="1"/>
  <c r="B26" i="13"/>
  <c r="D26" i="13" s="1"/>
  <c r="B35" i="13"/>
  <c r="D35" i="13" s="1"/>
  <c r="F39" i="13"/>
  <c r="G39" i="13" s="1"/>
  <c r="F23" i="13"/>
  <c r="G23" i="13" s="1"/>
  <c r="F7" i="13"/>
  <c r="G7" i="13" s="1"/>
  <c r="F35" i="13"/>
  <c r="G35" i="13" s="1"/>
  <c r="F19" i="13"/>
  <c r="G19" i="13" s="1"/>
  <c r="F5" i="13"/>
  <c r="G5" i="13" s="1"/>
  <c r="F31" i="13"/>
  <c r="G31" i="13" s="1"/>
  <c r="F15" i="13"/>
  <c r="G15" i="13" s="1"/>
  <c r="F6" i="13"/>
  <c r="G6" i="13" s="1"/>
  <c r="F27" i="13"/>
  <c r="G27" i="13" s="1"/>
  <c r="F11" i="13"/>
  <c r="G11" i="13" s="1"/>
  <c r="F26" i="13"/>
  <c r="G26" i="13" s="1"/>
  <c r="F10" i="13"/>
  <c r="G10" i="13" s="1"/>
  <c r="F13" i="13"/>
  <c r="G13" i="13" s="1"/>
  <c r="F21" i="13"/>
  <c r="G21" i="13" s="1"/>
  <c r="F29" i="13"/>
  <c r="G29" i="13" s="1"/>
  <c r="F37" i="13"/>
  <c r="G37" i="13" s="1"/>
  <c r="F20" i="13"/>
  <c r="G20" i="13" s="1"/>
  <c r="F38" i="13"/>
  <c r="G38" i="13" s="1"/>
  <c r="F22" i="13"/>
  <c r="G22" i="13" s="1"/>
  <c r="F8" i="13"/>
  <c r="G8" i="13" s="1"/>
  <c r="F16" i="13"/>
  <c r="G16" i="13" s="1"/>
  <c r="F24" i="13"/>
  <c r="G24" i="13" s="1"/>
  <c r="F32" i="13"/>
  <c r="G32" i="13" s="1"/>
  <c r="F40" i="13"/>
  <c r="G40" i="13" s="1"/>
  <c r="F12" i="13"/>
  <c r="G12" i="13" s="1"/>
  <c r="F36" i="13"/>
  <c r="G36" i="13" s="1"/>
  <c r="F34" i="13"/>
  <c r="G34" i="13" s="1"/>
  <c r="F18" i="13"/>
  <c r="G18" i="13" s="1"/>
  <c r="F9" i="13"/>
  <c r="G9" i="13" s="1"/>
  <c r="F17" i="13"/>
  <c r="G17" i="13" s="1"/>
  <c r="F25" i="13"/>
  <c r="G25" i="13" s="1"/>
  <c r="F33" i="13"/>
  <c r="G33" i="13" s="1"/>
  <c r="F30" i="13"/>
  <c r="G30" i="13" s="1"/>
  <c r="F28" i="13"/>
  <c r="G28" i="13" s="1"/>
  <c r="F14" i="13"/>
  <c r="G14" i="13" s="1"/>
  <c r="I20" i="14"/>
  <c r="I24" i="14" s="1"/>
</calcChain>
</file>

<file path=xl/sharedStrings.xml><?xml version="1.0" encoding="utf-8"?>
<sst xmlns="http://schemas.openxmlformats.org/spreadsheetml/2006/main" count="399" uniqueCount="117">
  <si>
    <t>SALARIOS BRUTOS</t>
  </si>
  <si>
    <t>SUELDO</t>
  </si>
  <si>
    <t>P.P. EXTRAS</t>
  </si>
  <si>
    <t>INDEMNIZACION</t>
  </si>
  <si>
    <t>C. DESTINO (18)</t>
  </si>
  <si>
    <t>C. ESPECIFICO (28)</t>
  </si>
  <si>
    <t>C. DESTINO (14)</t>
  </si>
  <si>
    <t>C. ESPECIFICO (24)</t>
  </si>
  <si>
    <t>INDENIZACION</t>
  </si>
  <si>
    <t>€/MES (MÍNIMOS)</t>
  </si>
  <si>
    <t>€/MES (MAXIMOS)</t>
  </si>
  <si>
    <t>€/MES (MÁXIMOS)</t>
  </si>
  <si>
    <t>€/MES (MINIMOS)</t>
  </si>
  <si>
    <t>SUELDO (B)</t>
  </si>
  <si>
    <t>BASE MINIMA/HORA Tº PARCIAL GRUPO 1</t>
  </si>
  <si>
    <t>BASE MINIMA G1</t>
  </si>
  <si>
    <t>BASE MINIMA/HORA Tº PARCIAL GRUPO 2</t>
  </si>
  <si>
    <t>BASE MINIMA/HORA Tº PARCIAL GRUPO 4-11</t>
  </si>
  <si>
    <t>12 DIAS</t>
  </si>
  <si>
    <t>Retribución/año (*1)</t>
  </si>
  <si>
    <t>mínimas</t>
  </si>
  <si>
    <t>máximas</t>
  </si>
  <si>
    <t>PERSONAL INVESTIGADOR</t>
  </si>
  <si>
    <t>Investigador en Formación</t>
  </si>
  <si>
    <t>PERSONAL COLABORADOR EN TAREAS DE INVESTIGACIÓN</t>
  </si>
  <si>
    <t>Titulados superiores I</t>
  </si>
  <si>
    <t>Titulados superiores II</t>
  </si>
  <si>
    <t>Titulados de grado medio</t>
  </si>
  <si>
    <t>Especialistas Técnicos (*2)</t>
  </si>
  <si>
    <t>Auxiliares (*2)</t>
  </si>
  <si>
    <t>TOTAL</t>
  </si>
  <si>
    <t>INVESTIGADOR EN FORMACIÓN</t>
  </si>
  <si>
    <t>INVESTIGADOR JUNIOR</t>
  </si>
  <si>
    <t>INVESTIGADOR SENIOR</t>
  </si>
  <si>
    <t>BASE MINIMA/HORA Tº PARCIAL GRUPO 5</t>
  </si>
  <si>
    <t>AUXILIAR</t>
  </si>
  <si>
    <t>TOTAL…………………</t>
  </si>
  <si>
    <t>TOTAL…………….</t>
  </si>
  <si>
    <t>ESPECIALISTA TECNICO</t>
  </si>
  <si>
    <t>TITULADO SUPERIOR I</t>
  </si>
  <si>
    <t>TITULADO SUPERIOR II</t>
  </si>
  <si>
    <t>TITULADO DE GRADO MEDIO</t>
  </si>
  <si>
    <t>Complemento Compensatorio CD</t>
  </si>
  <si>
    <t>Investigador Senior</t>
  </si>
  <si>
    <t>Investigador Junior</t>
  </si>
  <si>
    <t>DEDICACION HORAS  SEMANALES</t>
  </si>
  <si>
    <t xml:space="preserve">RETRIBUCION MENSUAL BRUTA </t>
  </si>
  <si>
    <t>RETRIBUCIONES MINIMAS</t>
  </si>
  <si>
    <t>RETRIBUCIONES MAXIMAS</t>
  </si>
  <si>
    <t>Grupo de Cotización</t>
  </si>
  <si>
    <t>CONTINGENCIAS COMUNES</t>
  </si>
  <si>
    <t>BASE MINIMA HORA</t>
  </si>
  <si>
    <t>TOPE MÍNIMO</t>
  </si>
  <si>
    <t>TOPE MÁXIMO</t>
  </si>
  <si>
    <t>CONTINGENCIAS PROFESIONALES</t>
  </si>
  <si>
    <t>Base Cotización</t>
  </si>
  <si>
    <t>Tipos cotización %</t>
  </si>
  <si>
    <t>Cuota Patronal</t>
  </si>
  <si>
    <t>Contingencias Comunes</t>
  </si>
  <si>
    <t>Contingencias Profesionales</t>
  </si>
  <si>
    <t>Bases mínimas euros/mes</t>
  </si>
  <si>
    <t>Bases máximas euros/mes</t>
  </si>
  <si>
    <t>CALCULADORA COSTE SEG.SOCIAL TIEMPO COMPLETO</t>
  </si>
  <si>
    <t>TOTAL COSTE SEGURIDAD SOCIAL</t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</si>
  <si>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DEDICACION de HORAS semanales…………………………….……………………………….</t>
    </r>
  </si>
  <si>
    <t>CALCULADORA COSTE SEG.SOCIAL TIEMPO PARCIAL</t>
  </si>
  <si>
    <t>TOTAL COSTE SEGURIDAD SOCIAL……..</t>
  </si>
  <si>
    <r>
      <rPr>
        <b/>
        <sz val="10"/>
        <rFont val="Verdana"/>
        <family val="2"/>
      </rPr>
      <t>(*) NOTA:</t>
    </r>
    <r>
      <rPr>
        <sz val="10"/>
        <rFont val="Verdana"/>
        <family val="2"/>
      </rPr>
      <t xml:space="preserve"> Para calcular el coste total del contrato/renovación para el periodo, utilice la siguiente plantilla………………………………………………………</t>
    </r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</si>
  <si>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PROPUESTA ……….……………….……………………………….</t>
    </r>
  </si>
  <si>
    <t>Base mín.Cotiz.</t>
  </si>
  <si>
    <t>Tipo cotización %</t>
  </si>
  <si>
    <t>1º año, no inferior a</t>
  </si>
  <si>
    <t>2º año, no inferior a</t>
  </si>
  <si>
    <t>3º año, no inferior a</t>
  </si>
  <si>
    <t>4º año, no inferior a</t>
  </si>
  <si>
    <t>Prorrateo de la cuantía, para percibir identica cuantia anual</t>
  </si>
  <si>
    <r>
      <t>(</t>
    </r>
    <r>
      <rPr>
        <b/>
        <sz val="9"/>
        <rFont val="Verdana"/>
        <family val="2"/>
      </rPr>
      <t xml:space="preserve">*) NOTA: </t>
    </r>
    <r>
      <rPr>
        <sz val="9"/>
        <rFont val="Verdana"/>
        <family val="2"/>
      </rPr>
      <t xml:space="preserve">Cuando la dedicación es a </t>
    </r>
    <r>
      <rPr>
        <b/>
        <sz val="9"/>
        <rFont val="Verdana"/>
        <family val="2"/>
      </rPr>
      <t>TIEMPO PARCIAL</t>
    </r>
    <r>
      <rPr>
        <sz val="9"/>
        <rFont val="Verdana"/>
        <family val="2"/>
      </rPr>
      <t xml:space="preserve">, para retribuciones distintas a las establecidas en tablas, según bases de la convocatoria, usar la siguiente calculadora para determinar el coste de Seguridad Social </t>
    </r>
  </si>
  <si>
    <r>
      <t>(</t>
    </r>
    <r>
      <rPr>
        <b/>
        <sz val="9"/>
        <rFont val="Verdana"/>
        <family val="2"/>
      </rPr>
      <t xml:space="preserve">*) NOTA: </t>
    </r>
    <r>
      <rPr>
        <sz val="9"/>
        <rFont val="Verdana"/>
        <family val="2"/>
      </rPr>
      <t xml:space="preserve">Cuando la dedicación es a </t>
    </r>
    <r>
      <rPr>
        <b/>
        <sz val="9"/>
        <rFont val="Verdana"/>
        <family val="2"/>
      </rPr>
      <t>TIEMPO PARCIAL</t>
    </r>
    <r>
      <rPr>
        <sz val="9"/>
        <rFont val="Verdana"/>
        <family val="2"/>
      </rPr>
      <t xml:space="preserve">, para retribuciones comprendidas </t>
    </r>
    <r>
      <rPr>
        <b/>
        <sz val="9"/>
        <rFont val="Verdana"/>
        <family val="2"/>
      </rPr>
      <t>en el rango del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intervalo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establecido</t>
    </r>
    <r>
      <rPr>
        <sz val="9"/>
        <rFont val="Verdana"/>
        <family val="2"/>
      </rPr>
      <t xml:space="preserve">, usar la siguiente calculadora para determinar el coste de Seguridad Social </t>
    </r>
  </si>
  <si>
    <r>
      <t>(</t>
    </r>
    <r>
      <rPr>
        <b/>
        <sz val="9"/>
        <rFont val="Verdana"/>
        <family val="2"/>
      </rPr>
      <t xml:space="preserve">*) NOTA: </t>
    </r>
    <r>
      <rPr>
        <sz val="9"/>
        <rFont val="Verdana"/>
        <family val="2"/>
      </rPr>
      <t xml:space="preserve">Cuando la dedicación es a </t>
    </r>
    <r>
      <rPr>
        <b/>
        <sz val="9"/>
        <rFont val="Verdana"/>
        <family val="2"/>
      </rPr>
      <t>TIEMPO PARCIAL</t>
    </r>
    <r>
      <rPr>
        <sz val="9"/>
        <rFont val="Verdana"/>
        <family val="2"/>
      </rPr>
      <t>, para retribuciones comprendidas en el</t>
    </r>
    <r>
      <rPr>
        <b/>
        <sz val="9"/>
        <rFont val="Verdana"/>
        <family val="2"/>
      </rPr>
      <t xml:space="preserve"> rango del intervalo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establecido</t>
    </r>
    <r>
      <rPr>
        <sz val="9"/>
        <rFont val="Verdana"/>
        <family val="2"/>
      </rPr>
      <t xml:space="preserve">, usar la siguiente calculadora para determinar el coste de Seguridad Social </t>
    </r>
  </si>
  <si>
    <t>RETRIBUCION BRUTA MENSUAL (12 pagas)</t>
  </si>
  <si>
    <t>RETRIBUCION MÍNIMA A PERCIBIR (TIEMPO COMPLETO)</t>
  </si>
  <si>
    <t>CONTRATO PREDOCTORAL</t>
  </si>
  <si>
    <t>Grupo de Cotización 1</t>
  </si>
  <si>
    <t>Base mínima/hora</t>
  </si>
  <si>
    <t>TOTAL COSTE SEGURIDAD SOCIAL……………..</t>
  </si>
  <si>
    <t>RETRIBUCION BRUTA MENSUAL (14 pagas)</t>
  </si>
  <si>
    <t>TOTAL COSTE SEGURIDAD SOCIAL……………………</t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</si>
  <si>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BRUTA PROPUESTA </t>
    </r>
    <r>
      <rPr>
        <sz val="9"/>
        <color rgb="FF0033CC"/>
        <rFont val="Verdana"/>
        <family val="2"/>
      </rPr>
      <t xml:space="preserve">para </t>
    </r>
    <r>
      <rPr>
        <b/>
        <sz val="9"/>
        <color rgb="FF0033CC"/>
        <rFont val="Verdana"/>
        <family val="2"/>
      </rPr>
      <t>37,5</t>
    </r>
    <r>
      <rPr>
        <sz val="9"/>
        <color rgb="FF0033CC"/>
        <rFont val="Verdana"/>
        <family val="2"/>
      </rPr>
      <t xml:space="preserve"> </t>
    </r>
    <r>
      <rPr>
        <b/>
        <sz val="9"/>
        <color rgb="FF0033CC"/>
        <rFont val="Verdana"/>
        <family val="2"/>
      </rPr>
      <t>h/semana ………………………………</t>
    </r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</si>
  <si>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BRUTA PROPUESTA </t>
    </r>
    <r>
      <rPr>
        <sz val="9"/>
        <color rgb="FF0033CC"/>
        <rFont val="Verdana"/>
        <family val="2"/>
      </rPr>
      <t xml:space="preserve">para </t>
    </r>
    <r>
      <rPr>
        <b/>
        <sz val="9"/>
        <color rgb="FF0033CC"/>
        <rFont val="Verdana"/>
        <family val="2"/>
      </rPr>
      <t>37,5 h/semana ………………………………</t>
    </r>
  </si>
  <si>
    <t>BASE MINIMA G2</t>
  </si>
  <si>
    <t>BASE MINIMA G5</t>
  </si>
  <si>
    <t>BASE MINIMA G7</t>
  </si>
  <si>
    <t>RETRIBUCION BRUTA ANUAL (*)</t>
  </si>
  <si>
    <t>OCULTAR ESTA FILA AL PUBLICAR</t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</si>
  <si>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BRUTA PROPUESTA 37,5 h:</t>
    </r>
  </si>
  <si>
    <t>TITULADO GRADO MEDIO</t>
  </si>
  <si>
    <t xml:space="preserve">TABLAS RETRIBUTIVAS DEL PERSONAL INVESTIGADOR EN FORMACIÓN AÑO  2023                                                                                                         </t>
  </si>
  <si>
    <t>CALCULO RC E INDEMNIZACION</t>
  </si>
  <si>
    <r>
      <t xml:space="preserve">CALCULADORA COSTE SEG.SOCIAL CONTRATO                                                               </t>
    </r>
    <r>
      <rPr>
        <b/>
        <sz val="11"/>
        <color rgb="FFFF0000"/>
        <rFont val="Verdana"/>
        <family val="2"/>
      </rPr>
      <t xml:space="preserve"> EN PRÁCTICAS/ACCESO PERSONAL INVESTIGADOR DOCTOR</t>
    </r>
  </si>
  <si>
    <t>Cuota Patronal con Bonificación**</t>
  </si>
  <si>
    <r>
      <t xml:space="preserve">(**) BONIFICACION: </t>
    </r>
    <r>
      <rPr>
        <sz val="10"/>
        <rFont val="Verdana"/>
        <family val="2"/>
      </rPr>
      <t xml:space="preserve">artículo 27 del RDL 1/2023 “La contratación de personal investigador bajo la modalidad de contrato predoctoral establecida en el artículo 21 de la Ley 14/2011, de 1 de junio, de la Ciencia, la Tecnología y la Innovación, dará derecho, durante la vigencia del contrato, incluidas sus prórrogas, a una bonificación en la cotización, en los términos establecidos en el artículo 10, de </t>
    </r>
    <r>
      <rPr>
        <b/>
        <sz val="10"/>
        <rFont val="Verdana"/>
        <family val="2"/>
      </rPr>
      <t>115 euros/mes</t>
    </r>
    <r>
      <rPr>
        <sz val="10"/>
        <rFont val="Verdana"/>
        <family val="2"/>
      </rPr>
      <t>"</t>
    </r>
  </si>
  <si>
    <t>CALCULO RC</t>
  </si>
  <si>
    <r>
      <rPr>
        <b/>
        <sz val="10"/>
        <rFont val="Verdana"/>
        <family val="2"/>
      </rPr>
      <t>(*) REFERENCIA:</t>
    </r>
    <r>
      <rPr>
        <sz val="10"/>
        <rFont val="Verdana"/>
        <family val="2"/>
      </rPr>
      <t xml:space="preserve"> Conforme a las tablas retributivas del personal laboral IV Convenio colectivo único de la Administración General del Estado. Con efectos desde el 01.11.23.</t>
    </r>
  </si>
  <si>
    <r>
      <t xml:space="preserve">CALCULADORA COSTE SEG.SOCIAL CONTRATO </t>
    </r>
    <r>
      <rPr>
        <b/>
        <sz val="11"/>
        <color rgb="FFFF0000"/>
        <rFont val="Verdana"/>
        <family val="2"/>
      </rPr>
      <t xml:space="preserve">PREDOCTORAL                             </t>
    </r>
    <r>
      <rPr>
        <b/>
        <sz val="11"/>
        <color rgb="FF0033CC"/>
        <rFont val="Verdana"/>
        <family val="2"/>
      </rPr>
      <t>(CONTRATOS INICIADOS A PARTIR DE 01/09/23)</t>
    </r>
    <r>
      <rPr>
        <b/>
        <sz val="11"/>
        <rFont val="Verdana"/>
        <family val="2"/>
      </rPr>
      <t>*</t>
    </r>
  </si>
  <si>
    <r>
      <t xml:space="preserve">CALCULADORA COSTE SEG.SOCIAL CONTRATO </t>
    </r>
    <r>
      <rPr>
        <b/>
        <sz val="11"/>
        <color rgb="FFFF0000"/>
        <rFont val="Verdana"/>
        <family val="2"/>
      </rPr>
      <t>PREDOCTORAL</t>
    </r>
    <r>
      <rPr>
        <b/>
        <sz val="11"/>
        <rFont val="Verdana"/>
        <family val="2"/>
      </rPr>
      <t xml:space="preserve"> </t>
    </r>
    <r>
      <rPr>
        <b/>
        <sz val="11"/>
        <color rgb="FF0033CC"/>
        <rFont val="Verdana"/>
        <family val="2"/>
      </rPr>
      <t>( CONTRATOS INICIADOS ANTES DEL 01/09/23)</t>
    </r>
  </si>
  <si>
    <t>COMPENSATORIO TRANSITORIO DESDE 2024</t>
  </si>
  <si>
    <t>ANTERIORMENTE CÁLCULO INDEMNIZACION 12 DIAS</t>
  </si>
  <si>
    <t xml:space="preserve">TABLAS RETRIBUTIVAS DEL PERSONAL INVESTIGADOR AÑO 2025                                                                                                          </t>
  </si>
  <si>
    <t>CUOTA  SEG.SOCIAL 33,27%</t>
  </si>
  <si>
    <t>CUOTA SEG.SOCIAL 33,27%</t>
  </si>
  <si>
    <t xml:space="preserve">TABLAS RETRIBUTIVAS DEL PERSONAL INVESTIGADOR AÑO 2025                                                                                                           </t>
  </si>
  <si>
    <t xml:space="preserve">TABLAS RETRIBUTIVAS DEL PERSONAL INVESTIGADOR AÑO 2025                                                                                                  </t>
  </si>
  <si>
    <t>TABLAS RETRIBUTIVAS DEL PERSONAL INVESTIGADOR AÑO 2025</t>
  </si>
  <si>
    <t xml:space="preserve">TABLAS RETRIBUTIVAS DEL PERSONAL INVESTIGADOR AÑO 2025                                                                                                     </t>
  </si>
  <si>
    <t xml:space="preserve">TABLAS RETRIBUTIVAS DEL PERSONAL INVESTIGADOR AÑO 2025                                                                                                         </t>
  </si>
  <si>
    <t>TABLAS 2025 CON INCREMENTO 1,07% sobre 1 de marzo 2024 (2% RDL 4/2024 - 0,93% resultante del 5% total aplicado sobre 31/12/2022)</t>
  </si>
  <si>
    <t>TABLAS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</si>
</sst>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3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i/>
      <u/>
      <sz val="10"/>
      <name val="Verdana"/>
      <family val="2"/>
    </font>
    <font>
      <sz val="10"/>
      <name val="Verdana"/>
      <family val="2"/>
    </font>
    <font>
      <b/>
      <sz val="11"/>
      <color rgb="FF000000"/>
      <name val="Verdana"/>
      <family val="2"/>
    </font>
    <font>
      <b/>
      <sz val="10"/>
      <name val="Verdana"/>
      <family val="2"/>
    </font>
    <font>
      <sz val="10"/>
      <color indexed="10"/>
      <name val="Verdana"/>
      <family val="2"/>
    </font>
    <font>
      <b/>
      <u/>
      <sz val="10"/>
      <name val="Verdana"/>
      <family val="2"/>
    </font>
    <font>
      <sz val="11"/>
      <color rgb="FF000000"/>
      <name val="Verdana"/>
      <family val="2"/>
    </font>
    <font>
      <sz val="11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8"/>
      <color rgb="FF000000"/>
      <name val="Verdana"/>
      <family val="2"/>
    </font>
    <font>
      <sz val="8"/>
      <name val="Verdana"/>
      <family val="2"/>
    </font>
    <font>
      <b/>
      <sz val="8"/>
      <color rgb="FF000000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b/>
      <sz val="9"/>
      <color rgb="FF0000CC"/>
      <name val="Verdana"/>
      <family val="2"/>
    </font>
    <font>
      <b/>
      <sz val="9"/>
      <color rgb="FF0033CC"/>
      <name val="Verdana"/>
      <family val="2"/>
    </font>
    <font>
      <sz val="9"/>
      <color rgb="FF0033CC"/>
      <name val="Verdana"/>
      <family val="2"/>
    </font>
    <font>
      <sz val="10"/>
      <color rgb="FF0033CC"/>
      <name val="Verdana"/>
      <family val="2"/>
    </font>
    <font>
      <i/>
      <sz val="10"/>
      <name val="Verdana"/>
      <family val="2"/>
    </font>
    <font>
      <b/>
      <sz val="10"/>
      <color rgb="FF0033CC"/>
      <name val="Verdana"/>
      <family val="2"/>
    </font>
    <font>
      <u/>
      <sz val="10"/>
      <color theme="10"/>
      <name val="Arial"/>
      <family val="2"/>
    </font>
    <font>
      <b/>
      <i/>
      <sz val="9"/>
      <color theme="0" tint="-0.34998626667073579"/>
      <name val="Verdana"/>
      <family val="2"/>
    </font>
    <font>
      <i/>
      <sz val="10"/>
      <color theme="0" tint="-0.34998626667073579"/>
      <name val="Verdana"/>
      <family val="2"/>
    </font>
    <font>
      <b/>
      <sz val="11"/>
      <color rgb="FFFF0000"/>
      <name val="Verdana"/>
      <family val="2"/>
    </font>
    <font>
      <b/>
      <sz val="11"/>
      <color rgb="FF0033CC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medium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medium">
        <color indexed="64"/>
      </bottom>
      <diagonal/>
    </border>
    <border>
      <left/>
      <right/>
      <top style="dashed">
        <color theme="0" tint="-0.2499465926084170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34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2" fontId="4" fillId="0" borderId="0" xfId="0" applyNumberFormat="1" applyFont="1"/>
    <xf numFmtId="0" fontId="7" fillId="0" borderId="0" xfId="0" applyFont="1"/>
    <xf numFmtId="0" fontId="6" fillId="0" borderId="0" xfId="0" applyFont="1"/>
    <xf numFmtId="0" fontId="8" fillId="0" borderId="0" xfId="0" applyFont="1" applyBorder="1" applyAlignment="1">
      <alignment vertical="center"/>
    </xf>
    <xf numFmtId="0" fontId="7" fillId="0" borderId="13" xfId="0" applyFont="1" applyFill="1" applyBorder="1"/>
    <xf numFmtId="0" fontId="11" fillId="0" borderId="0" xfId="0" applyFont="1"/>
    <xf numFmtId="0" fontId="11" fillId="0" borderId="0" xfId="0" applyFont="1" applyAlignment="1">
      <alignment horizontal="right"/>
    </xf>
    <xf numFmtId="4" fontId="7" fillId="0" borderId="0" xfId="0" applyNumberFormat="1" applyFont="1"/>
    <xf numFmtId="0" fontId="9" fillId="0" borderId="18" xfId="0" applyFont="1" applyFill="1" applyBorder="1"/>
    <xf numFmtId="0" fontId="9" fillId="0" borderId="0" xfId="0" applyFont="1" applyFill="1" applyBorder="1"/>
    <xf numFmtId="0" fontId="7" fillId="0" borderId="0" xfId="0" applyFont="1" applyBorder="1"/>
    <xf numFmtId="2" fontId="9" fillId="0" borderId="0" xfId="0" applyNumberFormat="1" applyFont="1"/>
    <xf numFmtId="2" fontId="7" fillId="0" borderId="0" xfId="0" applyNumberFormat="1" applyFont="1"/>
    <xf numFmtId="2" fontId="7" fillId="0" borderId="0" xfId="0" applyNumberFormat="1" applyFont="1" applyBorder="1"/>
    <xf numFmtId="0" fontId="7" fillId="0" borderId="0" xfId="0" applyFont="1" applyAlignment="1">
      <alignment vertical="center"/>
    </xf>
    <xf numFmtId="0" fontId="7" fillId="0" borderId="18" xfId="0" applyFont="1" applyFill="1" applyBorder="1"/>
    <xf numFmtId="0" fontId="7" fillId="0" borderId="21" xfId="0" applyFont="1" applyFill="1" applyBorder="1"/>
    <xf numFmtId="0" fontId="7" fillId="0" borderId="19" xfId="0" applyFont="1" applyBorder="1"/>
    <xf numFmtId="0" fontId="7" fillId="0" borderId="20" xfId="0" applyFont="1" applyBorder="1"/>
    <xf numFmtId="0" fontId="16" fillId="2" borderId="4" xfId="0" applyFont="1" applyFill="1" applyBorder="1" applyAlignment="1">
      <alignment vertical="center"/>
    </xf>
    <xf numFmtId="0" fontId="9" fillId="0" borderId="0" xfId="0" applyFont="1"/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/>
    <xf numFmtId="0" fontId="7" fillId="0" borderId="0" xfId="0" applyFont="1" applyAlignment="1">
      <alignment horizontal="center" wrapText="1"/>
    </xf>
    <xf numFmtId="0" fontId="13" fillId="0" borderId="0" xfId="0" applyFont="1" applyAlignment="1">
      <alignment vertical="center"/>
    </xf>
    <xf numFmtId="0" fontId="7" fillId="0" borderId="30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shrinkToFit="1"/>
    </xf>
    <xf numFmtId="0" fontId="13" fillId="0" borderId="9" xfId="0" applyFont="1" applyBorder="1" applyAlignment="1">
      <alignment vertical="center"/>
    </xf>
    <xf numFmtId="0" fontId="9" fillId="3" borderId="27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/>
    </xf>
    <xf numFmtId="2" fontId="7" fillId="0" borderId="31" xfId="0" applyNumberFormat="1" applyFont="1" applyBorder="1" applyAlignment="1">
      <alignment horizontal="center"/>
    </xf>
    <xf numFmtId="0" fontId="19" fillId="0" borderId="0" xfId="0" applyFont="1" applyAlignment="1">
      <alignment vertical="center"/>
    </xf>
    <xf numFmtId="0" fontId="19" fillId="0" borderId="33" xfId="0" applyFont="1" applyBorder="1" applyAlignment="1">
      <alignment horizontal="center" vertical="center"/>
    </xf>
    <xf numFmtId="2" fontId="7" fillId="0" borderId="0" xfId="1" applyNumberFormat="1" applyFont="1" applyAlignment="1">
      <alignment horizontal="center"/>
    </xf>
    <xf numFmtId="164" fontId="7" fillId="0" borderId="0" xfId="1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2" fontId="7" fillId="0" borderId="0" xfId="1" applyNumberFormat="1" applyFont="1" applyAlignment="1">
      <alignment horizontal="center" vertical="center"/>
    </xf>
    <xf numFmtId="2" fontId="7" fillId="0" borderId="31" xfId="1" applyNumberFormat="1" applyFont="1" applyBorder="1" applyAlignment="1">
      <alignment horizontal="center"/>
    </xf>
    <xf numFmtId="164" fontId="9" fillId="0" borderId="31" xfId="1" applyFont="1" applyBorder="1" applyAlignment="1">
      <alignment horizontal="center"/>
    </xf>
    <xf numFmtId="2" fontId="7" fillId="0" borderId="32" xfId="1" applyNumberFormat="1" applyFont="1" applyBorder="1" applyAlignment="1">
      <alignment horizontal="center"/>
    </xf>
    <xf numFmtId="164" fontId="9" fillId="0" borderId="32" xfId="1" applyFont="1" applyBorder="1" applyAlignment="1">
      <alignment horizontal="center"/>
    </xf>
    <xf numFmtId="0" fontId="19" fillId="0" borderId="34" xfId="0" applyFont="1" applyBorder="1" applyAlignment="1">
      <alignment vertical="center"/>
    </xf>
    <xf numFmtId="0" fontId="7" fillId="0" borderId="36" xfId="0" applyFont="1" applyFill="1" applyBorder="1" applyAlignment="1">
      <alignment horizontal="center"/>
    </xf>
    <xf numFmtId="2" fontId="7" fillId="0" borderId="36" xfId="1" applyNumberFormat="1" applyFont="1" applyBorder="1" applyAlignment="1">
      <alignment horizontal="center"/>
    </xf>
    <xf numFmtId="164" fontId="9" fillId="0" borderId="36" xfId="1" applyFont="1" applyBorder="1" applyAlignment="1">
      <alignment horizontal="center"/>
    </xf>
    <xf numFmtId="164" fontId="9" fillId="3" borderId="1" xfId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/>
    </xf>
    <xf numFmtId="2" fontId="9" fillId="3" borderId="1" xfId="1" applyNumberFormat="1" applyFont="1" applyFill="1" applyBorder="1" applyAlignment="1">
      <alignment horizontal="center" vertical="center" wrapText="1" shrinkToFit="1"/>
    </xf>
    <xf numFmtId="2" fontId="9" fillId="3" borderId="1" xfId="1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7" fillId="3" borderId="17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 wrapText="1" shrinkToFit="1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2" fontId="7" fillId="0" borderId="30" xfId="0" applyNumberFormat="1" applyFont="1" applyFill="1" applyBorder="1" applyAlignment="1">
      <alignment horizontal="center"/>
    </xf>
    <xf numFmtId="2" fontId="9" fillId="0" borderId="30" xfId="0" applyNumberFormat="1" applyFont="1" applyFill="1" applyBorder="1" applyAlignment="1">
      <alignment horizontal="center"/>
    </xf>
    <xf numFmtId="2" fontId="7" fillId="0" borderId="31" xfId="0" applyNumberFormat="1" applyFont="1" applyFill="1" applyBorder="1" applyAlignment="1">
      <alignment horizontal="center"/>
    </xf>
    <xf numFmtId="2" fontId="9" fillId="0" borderId="31" xfId="0" applyNumberFormat="1" applyFont="1" applyFill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2" fontId="9" fillId="0" borderId="32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 vertical="center" wrapText="1"/>
    </xf>
    <xf numFmtId="0" fontId="7" fillId="0" borderId="30" xfId="0" applyFont="1" applyFill="1" applyBorder="1"/>
    <xf numFmtId="0" fontId="7" fillId="0" borderId="31" xfId="0" applyFont="1" applyFill="1" applyBorder="1"/>
    <xf numFmtId="0" fontId="9" fillId="0" borderId="0" xfId="0" applyFont="1" applyBorder="1"/>
    <xf numFmtId="2" fontId="9" fillId="3" borderId="38" xfId="0" applyNumberFormat="1" applyFont="1" applyFill="1" applyBorder="1" applyAlignment="1">
      <alignment horizontal="center" vertical="center" wrapText="1"/>
    </xf>
    <xf numFmtId="2" fontId="7" fillId="3" borderId="3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9" fillId="3" borderId="38" xfId="0" applyNumberFormat="1" applyFont="1" applyFill="1" applyBorder="1" applyAlignment="1">
      <alignment horizontal="center" vertical="center" wrapText="1" shrinkToFit="1"/>
    </xf>
    <xf numFmtId="2" fontId="7" fillId="3" borderId="1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right" wrapText="1"/>
    </xf>
    <xf numFmtId="2" fontId="7" fillId="0" borderId="0" xfId="1" applyNumberFormat="1" applyFont="1" applyAlignment="1">
      <alignment vertical="center"/>
    </xf>
    <xf numFmtId="2" fontId="8" fillId="0" borderId="0" xfId="1" applyNumberFormat="1" applyFont="1" applyBorder="1" applyAlignment="1">
      <alignment vertical="center"/>
    </xf>
    <xf numFmtId="2" fontId="7" fillId="0" borderId="16" xfId="1" applyNumberFormat="1" applyFont="1" applyFill="1" applyBorder="1" applyAlignment="1">
      <alignment vertical="center"/>
    </xf>
    <xf numFmtId="2" fontId="10" fillId="0" borderId="16" xfId="1" applyNumberFormat="1" applyFont="1" applyFill="1" applyBorder="1" applyAlignment="1">
      <alignment vertical="center"/>
    </xf>
    <xf numFmtId="2" fontId="9" fillId="0" borderId="12" xfId="1" applyNumberFormat="1" applyFont="1" applyFill="1" applyBorder="1"/>
    <xf numFmtId="2" fontId="7" fillId="0" borderId="0" xfId="1" applyNumberFormat="1" applyFont="1"/>
    <xf numFmtId="2" fontId="7" fillId="0" borderId="0" xfId="1" applyNumberFormat="1" applyFont="1" applyBorder="1"/>
    <xf numFmtId="2" fontId="7" fillId="0" borderId="2" xfId="1" applyNumberFormat="1" applyFont="1" applyFill="1" applyBorder="1" applyAlignment="1">
      <alignment horizontal="right" wrapText="1"/>
    </xf>
    <xf numFmtId="2" fontId="7" fillId="0" borderId="3" xfId="1" applyNumberFormat="1" applyFont="1" applyFill="1" applyBorder="1" applyAlignment="1">
      <alignment horizontal="right" wrapText="1"/>
    </xf>
    <xf numFmtId="2" fontId="7" fillId="0" borderId="21" xfId="0" applyNumberFormat="1" applyFont="1" applyFill="1" applyBorder="1" applyAlignment="1">
      <alignment horizontal="right" wrapText="1"/>
    </xf>
    <xf numFmtId="2" fontId="7" fillId="0" borderId="0" xfId="0" applyNumberFormat="1" applyFont="1" applyAlignment="1">
      <alignment horizontal="right" wrapText="1"/>
    </xf>
    <xf numFmtId="2" fontId="7" fillId="0" borderId="0" xfId="1" applyNumberFormat="1" applyFont="1" applyBorder="1" applyAlignment="1">
      <alignment horizontal="right" wrapText="1"/>
    </xf>
    <xf numFmtId="2" fontId="7" fillId="0" borderId="22" xfId="1" applyNumberFormat="1" applyFont="1" applyBorder="1" applyAlignment="1">
      <alignment horizontal="right" wrapText="1"/>
    </xf>
    <xf numFmtId="2" fontId="9" fillId="0" borderId="8" xfId="1" applyNumberFormat="1" applyFont="1" applyBorder="1" applyAlignment="1">
      <alignment horizontal="right" wrapText="1"/>
    </xf>
    <xf numFmtId="2" fontId="9" fillId="0" borderId="23" xfId="1" applyNumberFormat="1" applyFont="1" applyBorder="1" applyAlignment="1">
      <alignment horizontal="right" wrapText="1"/>
    </xf>
    <xf numFmtId="2" fontId="9" fillId="0" borderId="0" xfId="0" applyNumberFormat="1" applyFont="1" applyAlignment="1">
      <alignment horizontal="right" wrapText="1"/>
    </xf>
    <xf numFmtId="2" fontId="9" fillId="0" borderId="0" xfId="0" applyNumberFormat="1" applyFont="1" applyBorder="1" applyAlignment="1">
      <alignment horizontal="right" wrapText="1"/>
    </xf>
    <xf numFmtId="2" fontId="7" fillId="0" borderId="0" xfId="0" applyNumberFormat="1" applyFont="1" applyAlignment="1">
      <alignment horizontal="center"/>
    </xf>
    <xf numFmtId="2" fontId="15" fillId="0" borderId="16" xfId="1" applyNumberFormat="1" applyFont="1" applyBorder="1" applyAlignment="1">
      <alignment horizontal="center" vertical="center"/>
    </xf>
    <xf numFmtId="2" fontId="15" fillId="0" borderId="7" xfId="1" applyNumberFormat="1" applyFont="1" applyBorder="1" applyAlignment="1">
      <alignment horizontal="center" vertical="center"/>
    </xf>
    <xf numFmtId="2" fontId="15" fillId="0" borderId="2" xfId="1" applyNumberFormat="1" applyFont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2" fontId="20" fillId="0" borderId="16" xfId="1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7" fillId="0" borderId="0" xfId="0" applyFont="1" applyAlignment="1"/>
    <xf numFmtId="0" fontId="9" fillId="0" borderId="0" xfId="0" applyFont="1" applyAlignment="1">
      <alignment horizontal="center" wrapText="1"/>
    </xf>
    <xf numFmtId="0" fontId="26" fillId="0" borderId="6" xfId="0" applyFont="1" applyFill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30" fillId="0" borderId="0" xfId="0" applyFont="1" applyAlignment="1">
      <alignment horizontal="center" wrapText="1"/>
    </xf>
    <xf numFmtId="2" fontId="30" fillId="0" borderId="0" xfId="0" applyNumberFormat="1" applyFont="1"/>
    <xf numFmtId="0" fontId="30" fillId="0" borderId="0" xfId="0" applyFont="1"/>
    <xf numFmtId="0" fontId="30" fillId="0" borderId="0" xfId="0" applyFont="1" applyAlignment="1"/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1" fillId="0" borderId="21" xfId="0" applyFont="1" applyBorder="1" applyAlignment="1">
      <alignment vertical="center" wrapText="1"/>
    </xf>
    <xf numFmtId="8" fontId="31" fillId="0" borderId="21" xfId="0" applyNumberFormat="1" applyFont="1" applyBorder="1" applyAlignment="1">
      <alignment vertical="center"/>
    </xf>
    <xf numFmtId="0" fontId="31" fillId="0" borderId="21" xfId="0" applyFont="1" applyBorder="1" applyAlignment="1">
      <alignment horizontal="center" vertical="center"/>
    </xf>
    <xf numFmtId="0" fontId="31" fillId="0" borderId="21" xfId="0" applyFont="1" applyBorder="1" applyAlignment="1">
      <alignment horizontal="right" vertical="center"/>
    </xf>
    <xf numFmtId="8" fontId="32" fillId="2" borderId="6" xfId="2" applyNumberFormat="1" applyFont="1" applyFill="1" applyBorder="1" applyAlignment="1">
      <alignment vertical="center"/>
    </xf>
    <xf numFmtId="2" fontId="7" fillId="0" borderId="28" xfId="0" applyNumberFormat="1" applyFont="1" applyBorder="1" applyAlignment="1">
      <alignment horizontal="center" wrapText="1"/>
    </xf>
    <xf numFmtId="10" fontId="7" fillId="0" borderId="0" xfId="0" applyNumberFormat="1" applyFont="1" applyFill="1" applyBorder="1"/>
    <xf numFmtId="0" fontId="26" fillId="0" borderId="16" xfId="0" applyFont="1" applyBorder="1" applyAlignment="1">
      <alignment horizontal="center" vertical="center"/>
    </xf>
    <xf numFmtId="2" fontId="31" fillId="0" borderId="6" xfId="3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34" fillId="0" borderId="6" xfId="0" applyFont="1" applyBorder="1" applyAlignment="1">
      <alignment horizontal="center" vertical="center"/>
    </xf>
    <xf numFmtId="2" fontId="15" fillId="0" borderId="16" xfId="1" applyNumberFormat="1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 wrapText="1"/>
    </xf>
    <xf numFmtId="2" fontId="9" fillId="3" borderId="44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8" fillId="4" borderId="24" xfId="0" applyFont="1" applyFill="1" applyBorder="1" applyAlignment="1">
      <alignment vertical="center"/>
    </xf>
    <xf numFmtId="2" fontId="9" fillId="4" borderId="25" xfId="0" applyNumberFormat="1" applyFont="1" applyFill="1" applyBorder="1" applyAlignment="1">
      <alignment horizontal="center" wrapText="1"/>
    </xf>
    <xf numFmtId="2" fontId="9" fillId="4" borderId="26" xfId="0" applyNumberFormat="1" applyFont="1" applyFill="1" applyBorder="1" applyAlignment="1">
      <alignment horizontal="center" wrapText="1"/>
    </xf>
    <xf numFmtId="0" fontId="8" fillId="4" borderId="2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164" fontId="9" fillId="0" borderId="31" xfId="1" applyFont="1" applyBorder="1" applyAlignment="1">
      <alignment horizontal="center" vertical="center"/>
    </xf>
    <xf numFmtId="164" fontId="7" fillId="0" borderId="31" xfId="1" applyFont="1" applyBorder="1" applyAlignment="1">
      <alignment horizontal="center"/>
    </xf>
    <xf numFmtId="164" fontId="7" fillId="0" borderId="46" xfId="1" applyFont="1" applyBorder="1" applyAlignment="1">
      <alignment horizontal="center"/>
    </xf>
    <xf numFmtId="164" fontId="7" fillId="0" borderId="48" xfId="1" applyFont="1" applyBorder="1" applyAlignment="1">
      <alignment horizontal="center"/>
    </xf>
    <xf numFmtId="44" fontId="7" fillId="0" borderId="0" xfId="0" applyNumberFormat="1" applyFont="1"/>
    <xf numFmtId="0" fontId="24" fillId="0" borderId="0" xfId="0" applyFont="1" applyBorder="1" applyAlignment="1">
      <alignment horizontal="center" vertical="center" wrapText="1"/>
    </xf>
    <xf numFmtId="4" fontId="24" fillId="0" borderId="0" xfId="0" applyNumberFormat="1" applyFont="1" applyBorder="1" applyAlignment="1">
      <alignment horizontal="center" vertical="center" wrapText="1"/>
    </xf>
    <xf numFmtId="4" fontId="24" fillId="0" borderId="0" xfId="0" applyNumberFormat="1" applyFont="1" applyBorder="1" applyAlignment="1">
      <alignment horizontal="center" vertical="center"/>
    </xf>
    <xf numFmtId="8" fontId="32" fillId="2" borderId="6" xfId="2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2" fontId="31" fillId="2" borderId="6" xfId="2" applyNumberFormat="1" applyFont="1" applyFill="1" applyBorder="1" applyAlignment="1">
      <alignment horizontal="center" vertical="center"/>
    </xf>
    <xf numFmtId="44" fontId="4" fillId="0" borderId="0" xfId="2" applyFont="1"/>
    <xf numFmtId="0" fontId="28" fillId="0" borderId="0" xfId="0" applyFont="1" applyFill="1" applyBorder="1" applyAlignment="1">
      <alignment horizontal="left" vertical="center" wrapText="1"/>
    </xf>
    <xf numFmtId="0" fontId="16" fillId="0" borderId="41" xfId="0" applyFont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wrapText="1"/>
    </xf>
    <xf numFmtId="0" fontId="7" fillId="0" borderId="47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2" fontId="16" fillId="0" borderId="0" xfId="0" applyNumberFormat="1" applyFont="1" applyFill="1" applyBorder="1" applyAlignment="1">
      <alignment horizontal="center" vertical="center" wrapText="1"/>
    </xf>
    <xf numFmtId="164" fontId="7" fillId="0" borderId="0" xfId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vertical="center" wrapText="1"/>
    </xf>
    <xf numFmtId="1" fontId="32" fillId="0" borderId="0" xfId="2" applyNumberFormat="1" applyFont="1" applyFill="1" applyBorder="1" applyAlignment="1">
      <alignment horizontal="center" vertical="center"/>
    </xf>
    <xf numFmtId="0" fontId="13" fillId="0" borderId="49" xfId="0" applyFont="1" applyBorder="1" applyAlignment="1">
      <alignment vertical="center"/>
    </xf>
    <xf numFmtId="164" fontId="7" fillId="0" borderId="50" xfId="1" applyFont="1" applyBorder="1" applyAlignment="1">
      <alignment horizontal="center"/>
    </xf>
    <xf numFmtId="164" fontId="7" fillId="0" borderId="51" xfId="1" applyFont="1" applyBorder="1" applyAlignment="1">
      <alignment horizontal="center"/>
    </xf>
    <xf numFmtId="164" fontId="9" fillId="0" borderId="53" xfId="1" applyFont="1" applyBorder="1" applyAlignment="1">
      <alignment horizontal="center" vertical="center"/>
    </xf>
    <xf numFmtId="164" fontId="9" fillId="0" borderId="52" xfId="1" applyFont="1" applyBorder="1" applyAlignment="1">
      <alignment horizontal="center" vertical="center"/>
    </xf>
    <xf numFmtId="164" fontId="7" fillId="0" borderId="53" xfId="1" applyFont="1" applyBorder="1" applyAlignment="1">
      <alignment horizontal="center"/>
    </xf>
    <xf numFmtId="164" fontId="7" fillId="0" borderId="54" xfId="1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vertical="center"/>
    </xf>
    <xf numFmtId="4" fontId="32" fillId="0" borderId="0" xfId="1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wrapText="1"/>
    </xf>
    <xf numFmtId="8" fontId="32" fillId="2" borderId="4" xfId="2" applyNumberFormat="1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wrapText="1" shrinkToFit="1"/>
    </xf>
    <xf numFmtId="2" fontId="9" fillId="0" borderId="31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2" fontId="7" fillId="0" borderId="0" xfId="0" applyNumberFormat="1" applyFont="1" applyAlignment="1">
      <alignment vertical="center"/>
    </xf>
    <xf numFmtId="0" fontId="9" fillId="0" borderId="4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2" fontId="7" fillId="0" borderId="32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2" fontId="7" fillId="0" borderId="55" xfId="0" applyNumberFormat="1" applyFont="1" applyBorder="1" applyAlignment="1">
      <alignment horizontal="center" wrapText="1"/>
    </xf>
    <xf numFmtId="2" fontId="7" fillId="0" borderId="0" xfId="1" applyNumberFormat="1" applyFont="1" applyBorder="1" applyAlignment="1">
      <alignment horizontal="center" vertical="center"/>
    </xf>
    <xf numFmtId="164" fontId="9" fillId="0" borderId="4" xfId="1" applyFont="1" applyFill="1" applyBorder="1" applyAlignment="1">
      <alignment horizontal="center" vertical="center" wrapText="1"/>
    </xf>
    <xf numFmtId="164" fontId="9" fillId="0" borderId="5" xfId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4" fontId="32" fillId="2" borderId="6" xfId="2" applyFont="1" applyFill="1" applyBorder="1" applyAlignment="1">
      <alignment vertical="center"/>
    </xf>
    <xf numFmtId="2" fontId="9" fillId="0" borderId="31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2" fontId="7" fillId="0" borderId="2" xfId="1" applyNumberFormat="1" applyFont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left"/>
    </xf>
    <xf numFmtId="0" fontId="26" fillId="0" borderId="6" xfId="0" applyFont="1" applyBorder="1" applyAlignment="1">
      <alignment horizontal="left" vertical="center" wrapText="1"/>
    </xf>
    <xf numFmtId="8" fontId="7" fillId="0" borderId="6" xfId="2" applyNumberFormat="1" applyFont="1" applyFill="1" applyBorder="1" applyAlignment="1">
      <alignment horizontal="center" vertical="center"/>
    </xf>
    <xf numFmtId="8" fontId="4" fillId="0" borderId="0" xfId="0" applyNumberFormat="1" applyFont="1"/>
    <xf numFmtId="0" fontId="21" fillId="5" borderId="13" xfId="0" applyFont="1" applyFill="1" applyBorder="1" applyAlignment="1">
      <alignment vertical="center"/>
    </xf>
    <xf numFmtId="2" fontId="7" fillId="5" borderId="16" xfId="1" applyNumberFormat="1" applyFont="1" applyFill="1" applyBorder="1" applyAlignment="1">
      <alignment vertical="center"/>
    </xf>
    <xf numFmtId="2" fontId="21" fillId="0" borderId="0" xfId="1" applyNumberFormat="1" applyFont="1"/>
    <xf numFmtId="0" fontId="24" fillId="0" borderId="0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5" fillId="0" borderId="38" xfId="0" applyNumberFormat="1" applyFont="1" applyFill="1" applyBorder="1" applyAlignment="1">
      <alignment horizontal="center" vertical="center" wrapText="1"/>
    </xf>
    <xf numFmtId="4" fontId="25" fillId="0" borderId="27" xfId="0" applyNumberFormat="1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4" fontId="25" fillId="0" borderId="38" xfId="0" applyNumberFormat="1" applyFont="1" applyFill="1" applyBorder="1" applyAlignment="1">
      <alignment horizontal="center" vertical="center"/>
    </xf>
    <xf numFmtId="4" fontId="25" fillId="0" borderId="27" xfId="0" applyNumberFormat="1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left" vertical="center" wrapText="1"/>
    </xf>
    <xf numFmtId="44" fontId="32" fillId="2" borderId="11" xfId="2" applyFont="1" applyFill="1" applyBorder="1" applyAlignment="1">
      <alignment horizontal="center" vertical="center"/>
    </xf>
    <xf numFmtId="44" fontId="32" fillId="2" borderId="12" xfId="2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horizontal="left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8" fontId="31" fillId="0" borderId="7" xfId="0" applyNumberFormat="1" applyFont="1" applyBorder="1" applyAlignment="1">
      <alignment horizontal="center" vertical="center"/>
    </xf>
    <xf numFmtId="8" fontId="31" fillId="0" borderId="3" xfId="0" applyNumberFormat="1" applyFont="1" applyBorder="1" applyAlignment="1">
      <alignment horizontal="center" vertical="center"/>
    </xf>
    <xf numFmtId="2" fontId="31" fillId="0" borderId="39" xfId="3" applyNumberFormat="1" applyFont="1" applyBorder="1" applyAlignment="1">
      <alignment horizontal="center" vertical="center"/>
    </xf>
    <xf numFmtId="2" fontId="31" fillId="0" borderId="40" xfId="3" applyNumberFormat="1" applyFont="1" applyBorder="1" applyAlignment="1">
      <alignment horizontal="center" vertical="center"/>
    </xf>
    <xf numFmtId="8" fontId="31" fillId="0" borderId="7" xfId="0" applyNumberFormat="1" applyFont="1" applyBorder="1" applyAlignment="1">
      <alignment horizontal="right" vertical="center"/>
    </xf>
    <xf numFmtId="0" fontId="31" fillId="0" borderId="3" xfId="0" applyFont="1" applyBorder="1" applyAlignment="1">
      <alignment horizontal="righ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8" fontId="31" fillId="0" borderId="11" xfId="0" applyNumberFormat="1" applyFont="1" applyBorder="1" applyAlignment="1">
      <alignment horizontal="right" vertical="center"/>
    </xf>
    <xf numFmtId="0" fontId="31" fillId="0" borderId="12" xfId="0" applyFont="1" applyBorder="1" applyAlignment="1">
      <alignment horizontal="right" vertical="center"/>
    </xf>
    <xf numFmtId="1" fontId="32" fillId="2" borderId="11" xfId="2" applyNumberFormat="1" applyFont="1" applyFill="1" applyBorder="1" applyAlignment="1">
      <alignment horizontal="center" vertical="center"/>
    </xf>
    <xf numFmtId="1" fontId="32" fillId="2" borderId="12" xfId="2" applyNumberFormat="1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right" vertical="center" wrapText="1"/>
    </xf>
    <xf numFmtId="0" fontId="27" fillId="2" borderId="14" xfId="0" applyFont="1" applyFill="1" applyBorder="1" applyAlignment="1">
      <alignment horizontal="right" vertical="center" wrapText="1"/>
    </xf>
    <xf numFmtId="0" fontId="27" fillId="2" borderId="5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33" fillId="0" borderId="0" xfId="4" applyBorder="1" applyAlignment="1">
      <alignment horizontal="center" vertical="center" wrapText="1"/>
    </xf>
    <xf numFmtId="2" fontId="35" fillId="0" borderId="2" xfId="0" applyNumberFormat="1" applyFont="1" applyBorder="1" applyAlignment="1">
      <alignment horizontal="center" vertical="center" wrapText="1"/>
    </xf>
    <xf numFmtId="2" fontId="35" fillId="0" borderId="3" xfId="0" applyNumberFormat="1" applyFont="1" applyBorder="1" applyAlignment="1">
      <alignment horizontal="center" vertical="center" wrapText="1"/>
    </xf>
    <xf numFmtId="2" fontId="31" fillId="0" borderId="7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2" fontId="31" fillId="0" borderId="7" xfId="3" applyNumberFormat="1" applyFont="1" applyBorder="1" applyAlignment="1">
      <alignment horizontal="center" vertical="center"/>
    </xf>
    <xf numFmtId="2" fontId="31" fillId="0" borderId="3" xfId="3" applyNumberFormat="1" applyFont="1" applyBorder="1" applyAlignment="1">
      <alignment horizontal="center" vertical="center"/>
    </xf>
    <xf numFmtId="8" fontId="31" fillId="0" borderId="3" xfId="0" applyNumberFormat="1" applyFont="1" applyBorder="1" applyAlignment="1">
      <alignment horizontal="right" vertical="center"/>
    </xf>
    <xf numFmtId="164" fontId="17" fillId="0" borderId="34" xfId="1" applyFont="1" applyFill="1" applyBorder="1" applyAlignment="1">
      <alignment horizontal="center" vertical="center" wrapText="1"/>
    </xf>
    <xf numFmtId="164" fontId="17" fillId="0" borderId="35" xfId="1" applyFont="1" applyFill="1" applyBorder="1" applyAlignment="1">
      <alignment horizontal="center" vertical="center" wrapText="1"/>
    </xf>
    <xf numFmtId="2" fontId="17" fillId="0" borderId="34" xfId="1" applyNumberFormat="1" applyFont="1" applyFill="1" applyBorder="1" applyAlignment="1">
      <alignment horizontal="center" vertical="center" wrapText="1"/>
    </xf>
    <xf numFmtId="2" fontId="17" fillId="0" borderId="35" xfId="1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justify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33" fillId="0" borderId="0" xfId="4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8" fontId="31" fillId="0" borderId="10" xfId="0" applyNumberFormat="1" applyFont="1" applyBorder="1" applyAlignment="1">
      <alignment horizontal="center" vertical="center"/>
    </xf>
    <xf numFmtId="8" fontId="31" fillId="0" borderId="18" xfId="0" applyNumberFormat="1" applyFont="1" applyBorder="1" applyAlignment="1">
      <alignment horizontal="center" vertical="center"/>
    </xf>
    <xf numFmtId="0" fontId="31" fillId="0" borderId="7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2" fontId="17" fillId="0" borderId="17" xfId="0" applyNumberFormat="1" applyFont="1" applyFill="1" applyBorder="1" applyAlignment="1">
      <alignment horizontal="center" vertical="center" wrapText="1"/>
    </xf>
    <xf numFmtId="2" fontId="17" fillId="0" borderId="29" xfId="0" applyNumberFormat="1" applyFont="1" applyFill="1" applyBorder="1" applyAlignment="1">
      <alignment horizontal="center" vertical="center" wrapText="1"/>
    </xf>
    <xf numFmtId="1" fontId="32" fillId="2" borderId="7" xfId="2" applyNumberFormat="1" applyFont="1" applyFill="1" applyBorder="1" applyAlignment="1">
      <alignment horizontal="center" vertical="center"/>
    </xf>
    <xf numFmtId="1" fontId="32" fillId="2" borderId="3" xfId="2" applyNumberFormat="1" applyFont="1" applyFill="1" applyBorder="1" applyAlignment="1">
      <alignment horizontal="center" vertical="center"/>
    </xf>
    <xf numFmtId="2" fontId="35" fillId="0" borderId="7" xfId="0" applyNumberFormat="1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/>
    </xf>
    <xf numFmtId="2" fontId="15" fillId="0" borderId="13" xfId="0" applyNumberFormat="1" applyFont="1" applyBorder="1" applyAlignment="1">
      <alignment horizontal="right" vertical="center" wrapText="1"/>
    </xf>
    <xf numFmtId="2" fontId="15" fillId="0" borderId="16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justify" vertical="center" wrapText="1"/>
    </xf>
    <xf numFmtId="0" fontId="8" fillId="4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15" fillId="0" borderId="0" xfId="0" applyFont="1" applyAlignment="1">
      <alignment horizontal="justify" vertical="center" wrapText="1"/>
    </xf>
    <xf numFmtId="0" fontId="15" fillId="0" borderId="15" xfId="0" applyFont="1" applyBorder="1" applyAlignment="1">
      <alignment horizontal="justify" vertical="center" wrapText="1"/>
    </xf>
    <xf numFmtId="2" fontId="7" fillId="0" borderId="16" xfId="0" applyNumberFormat="1" applyFont="1" applyBorder="1" applyAlignment="1">
      <alignment horizontal="right" wrapText="1"/>
    </xf>
    <xf numFmtId="2" fontId="7" fillId="0" borderId="12" xfId="0" applyNumberFormat="1" applyFont="1" applyBorder="1" applyAlignment="1">
      <alignment horizontal="right" wrapText="1"/>
    </xf>
    <xf numFmtId="0" fontId="8" fillId="4" borderId="4" xfId="0" applyFont="1" applyFill="1" applyBorder="1" applyAlignment="1">
      <alignment horizontal="justify" vertical="center" wrapText="1"/>
    </xf>
    <xf numFmtId="0" fontId="8" fillId="4" borderId="14" xfId="0" applyFont="1" applyFill="1" applyBorder="1" applyAlignment="1">
      <alignment horizontal="justify" vertical="center" wrapText="1"/>
    </xf>
    <xf numFmtId="0" fontId="8" fillId="4" borderId="5" xfId="0" applyFont="1" applyFill="1" applyBorder="1" applyAlignment="1">
      <alignment horizontal="justify" vertical="center" wrapText="1"/>
    </xf>
    <xf numFmtId="0" fontId="8" fillId="4" borderId="21" xfId="0" applyFont="1" applyFill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2" fontId="15" fillId="0" borderId="7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right" vertical="center" wrapText="1"/>
    </xf>
    <xf numFmtId="2" fontId="15" fillId="0" borderId="2" xfId="0" applyNumberFormat="1" applyFont="1" applyBorder="1" applyAlignment="1">
      <alignment horizontal="right" vertical="center" wrapText="1"/>
    </xf>
    <xf numFmtId="2" fontId="15" fillId="0" borderId="3" xfId="0" applyNumberFormat="1" applyFont="1" applyBorder="1" applyAlignment="1">
      <alignment horizontal="right" vertical="center" wrapText="1"/>
    </xf>
    <xf numFmtId="2" fontId="21" fillId="0" borderId="16" xfId="0" applyNumberFormat="1" applyFont="1" applyBorder="1" applyAlignment="1">
      <alignment horizontal="right" wrapText="1"/>
    </xf>
    <xf numFmtId="2" fontId="21" fillId="0" borderId="12" xfId="0" applyNumberFormat="1" applyFont="1" applyBorder="1" applyAlignment="1">
      <alignment horizontal="right" wrapText="1"/>
    </xf>
    <xf numFmtId="0" fontId="22" fillId="4" borderId="4" xfId="0" applyFont="1" applyFill="1" applyBorder="1" applyAlignment="1">
      <alignment horizontal="justify" vertical="center" wrapText="1"/>
    </xf>
    <xf numFmtId="0" fontId="22" fillId="4" borderId="14" xfId="0" applyFont="1" applyFill="1" applyBorder="1" applyAlignment="1">
      <alignment horizontal="justify" vertical="center" wrapText="1"/>
    </xf>
    <xf numFmtId="0" fontId="22" fillId="4" borderId="5" xfId="0" applyFont="1" applyFill="1" applyBorder="1" applyAlignment="1">
      <alignment horizontal="justify" vertical="center" wrapText="1"/>
    </xf>
    <xf numFmtId="0" fontId="20" fillId="0" borderId="2" xfId="0" applyFont="1" applyBorder="1" applyAlignment="1">
      <alignment horizontal="justify" vertical="center" wrapText="1"/>
    </xf>
    <xf numFmtId="2" fontId="20" fillId="0" borderId="13" xfId="0" applyNumberFormat="1" applyFont="1" applyBorder="1" applyAlignment="1">
      <alignment horizontal="right" vertical="center" wrapText="1"/>
    </xf>
    <xf numFmtId="2" fontId="20" fillId="0" borderId="16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15" xfId="0" applyFont="1" applyBorder="1" applyAlignment="1">
      <alignment horizontal="justify" vertical="center" wrapText="1"/>
    </xf>
    <xf numFmtId="0" fontId="20" fillId="0" borderId="3" xfId="0" applyFont="1" applyBorder="1" applyAlignment="1">
      <alignment horizontal="justify" vertical="center" wrapText="1"/>
    </xf>
    <xf numFmtId="2" fontId="20" fillId="0" borderId="7" xfId="0" applyNumberFormat="1" applyFont="1" applyBorder="1" applyAlignment="1">
      <alignment horizontal="right" vertical="center" wrapText="1"/>
    </xf>
    <xf numFmtId="2" fontId="21" fillId="0" borderId="2" xfId="0" applyNumberFormat="1" applyFont="1" applyBorder="1" applyAlignment="1">
      <alignment horizontal="right" vertical="center" wrapText="1"/>
    </xf>
    <xf numFmtId="2" fontId="20" fillId="0" borderId="2" xfId="0" applyNumberFormat="1" applyFont="1" applyBorder="1" applyAlignment="1">
      <alignment horizontal="right" vertical="center" wrapText="1"/>
    </xf>
    <xf numFmtId="2" fontId="20" fillId="0" borderId="3" xfId="0" applyNumberFormat="1" applyFont="1" applyBorder="1" applyAlignment="1">
      <alignment horizontal="right" vertical="center" wrapText="1"/>
    </xf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C0C0C0"/>
      <color rgb="FF0033CC"/>
      <color rgb="FF0000CC"/>
      <color rgb="FF0000FF"/>
      <color rgb="FF3399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INDEMNIZACION%2012%20DIAS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RC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INDEMNIZACION%2012%20DIAS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RC.xls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RC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RC.xls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RC.xls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RC.xls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opLeftCell="B28" zoomScaleNormal="100" workbookViewId="0">
      <selection activeCell="I8" sqref="I8:K9"/>
    </sheetView>
  </sheetViews>
  <sheetFormatPr baseColWidth="10" defaultColWidth="11.5703125" defaultRowHeight="12.75" x14ac:dyDescent="0.2"/>
  <cols>
    <col min="1" max="1" width="15" style="33" customWidth="1"/>
    <col min="2" max="2" width="21.28515625" style="33" customWidth="1"/>
    <col min="3" max="3" width="16.5703125" style="33" hidden="1" customWidth="1"/>
    <col min="4" max="4" width="14.42578125" style="116" customWidth="1"/>
    <col min="5" max="5" width="18.28515625" style="8" customWidth="1"/>
    <col min="6" max="6" width="24.7109375" style="8" customWidth="1"/>
    <col min="7" max="7" width="18.42578125" style="8" customWidth="1"/>
    <col min="8" max="8" width="11.5703125" style="8"/>
    <col min="9" max="9" width="19.7109375" style="35" customWidth="1"/>
    <col min="10" max="10" width="19.42578125" style="19" customWidth="1"/>
    <col min="11" max="11" width="18.7109375" style="8" customWidth="1"/>
    <col min="12" max="12" width="17.7109375" style="115" customWidth="1"/>
    <col min="13" max="13" width="16" style="8" customWidth="1"/>
    <col min="14" max="16384" width="11.5703125" style="8"/>
  </cols>
  <sheetData>
    <row r="1" spans="1:13" ht="51.75" customHeight="1" x14ac:dyDescent="0.2">
      <c r="A1" s="222" t="s">
        <v>107</v>
      </c>
      <c r="B1" s="223"/>
      <c r="C1" s="223"/>
      <c r="D1" s="223"/>
      <c r="E1" s="223"/>
      <c r="F1" s="223"/>
      <c r="G1" s="223"/>
    </row>
    <row r="2" spans="1:13" s="36" customFormat="1" ht="28.5" customHeight="1" x14ac:dyDescent="0.2">
      <c r="A2" s="44"/>
      <c r="B2" s="228" t="s">
        <v>47</v>
      </c>
      <c r="C2" s="228"/>
      <c r="D2" s="228"/>
      <c r="E2" s="42"/>
      <c r="F2" s="228" t="s">
        <v>48</v>
      </c>
      <c r="G2" s="229"/>
      <c r="I2" s="224" t="s">
        <v>50</v>
      </c>
      <c r="J2" s="224"/>
      <c r="K2" s="224"/>
      <c r="L2" s="224" t="s">
        <v>54</v>
      </c>
      <c r="M2" s="224"/>
    </row>
    <row r="3" spans="1:13" s="27" customFormat="1" ht="38.25" x14ac:dyDescent="0.2">
      <c r="A3" s="43" t="s">
        <v>45</v>
      </c>
      <c r="B3" s="40" t="s">
        <v>46</v>
      </c>
      <c r="C3" s="40" t="s">
        <v>51</v>
      </c>
      <c r="D3" s="188" t="s">
        <v>108</v>
      </c>
      <c r="E3" s="40" t="s">
        <v>45</v>
      </c>
      <c r="F3" s="40" t="s">
        <v>46</v>
      </c>
      <c r="G3" s="41" t="s">
        <v>109</v>
      </c>
      <c r="I3" s="124" t="s">
        <v>49</v>
      </c>
      <c r="J3" s="124" t="s">
        <v>60</v>
      </c>
      <c r="K3" s="124" t="s">
        <v>61</v>
      </c>
      <c r="L3" s="125" t="s">
        <v>52</v>
      </c>
      <c r="M3" s="124" t="s">
        <v>53</v>
      </c>
    </row>
    <row r="4" spans="1:13" ht="16.5" customHeight="1" x14ac:dyDescent="0.2">
      <c r="A4" s="37">
        <v>37.5</v>
      </c>
      <c r="B4" s="45">
        <f>PARAMETROS!B2</f>
        <v>2799.827692075</v>
      </c>
      <c r="C4" s="45"/>
      <c r="D4" s="131"/>
      <c r="E4" s="37">
        <v>37.5</v>
      </c>
      <c r="F4" s="45">
        <f>PARAMETROS!C2</f>
        <v>36398.808738600004</v>
      </c>
      <c r="G4" s="45">
        <f>IF(F4&gt;=$K$4,$K$4*$K$18%,F4*$K$18%)</f>
        <v>1633.3906499999996</v>
      </c>
      <c r="I4" s="225">
        <v>1</v>
      </c>
      <c r="J4" s="226">
        <v>1847.4</v>
      </c>
      <c r="K4" s="226">
        <v>4909.5</v>
      </c>
      <c r="L4" s="230">
        <v>1323</v>
      </c>
      <c r="M4" s="226">
        <v>4909.5</v>
      </c>
    </row>
    <row r="5" spans="1:13" ht="16.5" customHeight="1" x14ac:dyDescent="0.2">
      <c r="A5" s="38">
        <v>36</v>
      </c>
      <c r="B5" s="46">
        <f>(PRODUCT(B$4,A5)/A$4)</f>
        <v>2687.8345843920001</v>
      </c>
      <c r="C5" s="189">
        <f>((A5/$A$4*7.5*5)/7)*30*$D$43</f>
        <v>1717.2000000000003</v>
      </c>
      <c r="D5" s="131">
        <f t="shared" ref="D5:D40" si="0">IF(B5&lt;C5,C5*$K$18%,B5*$K$18%)</f>
        <v>894.24256622721828</v>
      </c>
      <c r="E5" s="38">
        <v>36</v>
      </c>
      <c r="F5" s="46">
        <f t="shared" ref="F5:F40" si="1">PRODUCT(F$4,E5)/E$4</f>
        <v>34942.856389056004</v>
      </c>
      <c r="G5" s="46">
        <f t="shared" ref="G5:G40" si="2">IF(F5&gt;=$K$4,$K$4*$K$18%,F5*$K$18%)</f>
        <v>1633.3906499999996</v>
      </c>
      <c r="I5" s="225"/>
      <c r="J5" s="227"/>
      <c r="K5" s="227"/>
      <c r="L5" s="231"/>
      <c r="M5" s="227"/>
    </row>
    <row r="6" spans="1:13" ht="16.5" customHeight="1" x14ac:dyDescent="0.2">
      <c r="A6" s="38">
        <v>35</v>
      </c>
      <c r="B6" s="46">
        <f t="shared" ref="B6:B40" si="3">(PRODUCT(B$4,A6)/A$4)</f>
        <v>2613.1725126033334</v>
      </c>
      <c r="C6" s="189">
        <f t="shared" ref="C6:C40" si="4">((A6/A$4*7.5*5)/7)*30*$D$43</f>
        <v>1669.5000000000002</v>
      </c>
      <c r="D6" s="131">
        <f t="shared" si="0"/>
        <v>869.40249494312889</v>
      </c>
      <c r="E6" s="38">
        <v>35</v>
      </c>
      <c r="F6" s="46">
        <f t="shared" si="1"/>
        <v>33972.221489360003</v>
      </c>
      <c r="G6" s="46">
        <f t="shared" si="2"/>
        <v>1633.3906499999996</v>
      </c>
      <c r="J6" s="8"/>
    </row>
    <row r="7" spans="1:13" ht="16.5" customHeight="1" thickBot="1" x14ac:dyDescent="0.25">
      <c r="A7" s="38">
        <v>34</v>
      </c>
      <c r="B7" s="46">
        <f t="shared" si="3"/>
        <v>2538.5104408146667</v>
      </c>
      <c r="C7" s="189">
        <f t="shared" si="4"/>
        <v>1621.8</v>
      </c>
      <c r="D7" s="131">
        <f t="shared" si="0"/>
        <v>844.5624236590395</v>
      </c>
      <c r="E7" s="38">
        <v>34</v>
      </c>
      <c r="F7" s="46">
        <f t="shared" si="1"/>
        <v>33001.586589664003</v>
      </c>
      <c r="G7" s="46">
        <f t="shared" si="2"/>
        <v>1633.3906499999996</v>
      </c>
    </row>
    <row r="8" spans="1:13" ht="16.5" customHeight="1" x14ac:dyDescent="0.2">
      <c r="A8" s="38">
        <v>33</v>
      </c>
      <c r="B8" s="46">
        <f t="shared" si="3"/>
        <v>2463.848369026</v>
      </c>
      <c r="C8" s="189">
        <f t="shared" si="4"/>
        <v>1574.1000000000004</v>
      </c>
      <c r="D8" s="131">
        <f t="shared" si="0"/>
        <v>819.72235237495011</v>
      </c>
      <c r="E8" s="38">
        <v>33</v>
      </c>
      <c r="F8" s="46">
        <f t="shared" si="1"/>
        <v>32030.951689968002</v>
      </c>
      <c r="G8" s="46">
        <f t="shared" si="2"/>
        <v>1633.3906499999996</v>
      </c>
      <c r="I8" s="236" t="s">
        <v>87</v>
      </c>
      <c r="J8" s="236"/>
      <c r="K8" s="237"/>
      <c r="L8" s="234">
        <v>0</v>
      </c>
    </row>
    <row r="9" spans="1:13" ht="16.5" customHeight="1" thickBot="1" x14ac:dyDescent="0.25">
      <c r="A9" s="38">
        <v>32</v>
      </c>
      <c r="B9" s="46">
        <f t="shared" si="3"/>
        <v>2389.1862972373333</v>
      </c>
      <c r="C9" s="189">
        <f t="shared" si="4"/>
        <v>1526.4</v>
      </c>
      <c r="D9" s="131">
        <f t="shared" si="0"/>
        <v>794.8822810908606</v>
      </c>
      <c r="E9" s="38">
        <v>32</v>
      </c>
      <c r="F9" s="46">
        <f t="shared" si="1"/>
        <v>31060.316790272005</v>
      </c>
      <c r="G9" s="46">
        <f t="shared" si="2"/>
        <v>1633.3906499999996</v>
      </c>
      <c r="I9" s="236"/>
      <c r="J9" s="236"/>
      <c r="K9" s="237"/>
      <c r="L9" s="235"/>
    </row>
    <row r="10" spans="1:13" ht="16.5" customHeight="1" thickBot="1" x14ac:dyDescent="0.25">
      <c r="A10" s="38">
        <v>31</v>
      </c>
      <c r="B10" s="46">
        <f t="shared" si="3"/>
        <v>2314.5242254486666</v>
      </c>
      <c r="C10" s="189">
        <f t="shared" si="4"/>
        <v>1478.7</v>
      </c>
      <c r="D10" s="131">
        <f t="shared" si="0"/>
        <v>770.04220980677121</v>
      </c>
      <c r="E10" s="38">
        <v>31</v>
      </c>
      <c r="F10" s="46">
        <f t="shared" si="1"/>
        <v>30089.681890576005</v>
      </c>
      <c r="G10" s="46">
        <f t="shared" si="2"/>
        <v>1633.3906499999996</v>
      </c>
      <c r="I10" s="120"/>
      <c r="J10" s="121"/>
      <c r="K10" s="122"/>
      <c r="L10" s="123"/>
    </row>
    <row r="11" spans="1:13" ht="16.5" customHeight="1" x14ac:dyDescent="0.2">
      <c r="A11" s="38">
        <v>30</v>
      </c>
      <c r="B11" s="46">
        <f t="shared" si="3"/>
        <v>2239.8621536599999</v>
      </c>
      <c r="C11" s="189">
        <f t="shared" si="4"/>
        <v>1431</v>
      </c>
      <c r="D11" s="131">
        <f t="shared" si="0"/>
        <v>745.20213852268182</v>
      </c>
      <c r="E11" s="38">
        <v>30</v>
      </c>
      <c r="F11" s="46">
        <f t="shared" si="1"/>
        <v>29119.046990880004</v>
      </c>
      <c r="G11" s="46">
        <f t="shared" si="2"/>
        <v>1633.3906499999996</v>
      </c>
      <c r="I11" s="238" t="s">
        <v>62</v>
      </c>
      <c r="J11" s="239"/>
      <c r="K11" s="239"/>
      <c r="L11" s="240"/>
    </row>
    <row r="12" spans="1:13" ht="16.5" customHeight="1" thickBot="1" x14ac:dyDescent="0.25">
      <c r="A12" s="38">
        <v>29</v>
      </c>
      <c r="B12" s="46">
        <f t="shared" si="3"/>
        <v>2165.2000818713332</v>
      </c>
      <c r="C12" s="189">
        <f t="shared" si="4"/>
        <v>1383.3000000000002</v>
      </c>
      <c r="D12" s="131">
        <f t="shared" si="0"/>
        <v>720.36206723859243</v>
      </c>
      <c r="E12" s="38">
        <v>29</v>
      </c>
      <c r="F12" s="46">
        <f t="shared" si="1"/>
        <v>28148.412091184004</v>
      </c>
      <c r="G12" s="46">
        <f t="shared" si="2"/>
        <v>1633.3906499999996</v>
      </c>
      <c r="I12" s="241"/>
      <c r="J12" s="242"/>
      <c r="K12" s="242"/>
      <c r="L12" s="243"/>
    </row>
    <row r="13" spans="1:13" ht="16.5" customHeight="1" thickBot="1" x14ac:dyDescent="0.25">
      <c r="A13" s="38">
        <v>28</v>
      </c>
      <c r="B13" s="46">
        <f t="shared" si="3"/>
        <v>2090.5380100826665</v>
      </c>
      <c r="C13" s="189">
        <f t="shared" si="4"/>
        <v>1335.6000000000004</v>
      </c>
      <c r="D13" s="131">
        <f t="shared" si="0"/>
        <v>695.52199595450304</v>
      </c>
      <c r="E13" s="38">
        <v>28</v>
      </c>
      <c r="F13" s="46">
        <f t="shared" si="1"/>
        <v>27177.777191488003</v>
      </c>
      <c r="G13" s="46">
        <f t="shared" si="2"/>
        <v>1633.3906499999996</v>
      </c>
      <c r="I13" s="117"/>
      <c r="J13" s="118" t="s">
        <v>55</v>
      </c>
      <c r="K13" s="133" t="s">
        <v>56</v>
      </c>
      <c r="L13" s="119" t="s">
        <v>57</v>
      </c>
    </row>
    <row r="14" spans="1:13" ht="16.5" customHeight="1" x14ac:dyDescent="0.2">
      <c r="A14" s="38">
        <v>27</v>
      </c>
      <c r="B14" s="46">
        <f t="shared" si="3"/>
        <v>2015.8759382939998</v>
      </c>
      <c r="C14" s="189">
        <f t="shared" si="4"/>
        <v>1287.9000000000001</v>
      </c>
      <c r="D14" s="131">
        <f t="shared" si="0"/>
        <v>670.68192467041365</v>
      </c>
      <c r="E14" s="38">
        <v>27</v>
      </c>
      <c r="F14" s="46">
        <f t="shared" si="1"/>
        <v>26207.142291792003</v>
      </c>
      <c r="G14" s="46">
        <f t="shared" si="2"/>
        <v>1633.3906499999996</v>
      </c>
      <c r="I14" s="244" t="s">
        <v>58</v>
      </c>
      <c r="J14" s="246">
        <f>IF(L8&gt;=J4,L8,J4)</f>
        <v>1847.4</v>
      </c>
      <c r="K14" s="248">
        <v>24.27</v>
      </c>
      <c r="L14" s="254">
        <f>J14*K14%</f>
        <v>448.36398000000003</v>
      </c>
    </row>
    <row r="15" spans="1:13" ht="16.5" customHeight="1" thickBot="1" x14ac:dyDescent="0.25">
      <c r="A15" s="38">
        <v>26</v>
      </c>
      <c r="B15" s="46">
        <f t="shared" si="3"/>
        <v>1941.2138665053333</v>
      </c>
      <c r="C15" s="189">
        <f t="shared" si="4"/>
        <v>1240.2</v>
      </c>
      <c r="D15" s="131">
        <f t="shared" si="0"/>
        <v>645.84185338632426</v>
      </c>
      <c r="E15" s="38">
        <v>26</v>
      </c>
      <c r="F15" s="46">
        <f t="shared" si="1"/>
        <v>25236.507392096006</v>
      </c>
      <c r="G15" s="46">
        <f t="shared" si="2"/>
        <v>1633.3906499999996</v>
      </c>
      <c r="I15" s="245"/>
      <c r="J15" s="247"/>
      <c r="K15" s="249"/>
      <c r="L15" s="255"/>
    </row>
    <row r="16" spans="1:13" ht="16.5" customHeight="1" x14ac:dyDescent="0.2">
      <c r="A16" s="38">
        <v>25</v>
      </c>
      <c r="B16" s="46">
        <f t="shared" si="3"/>
        <v>1866.5517947166666</v>
      </c>
      <c r="C16" s="189">
        <f t="shared" si="4"/>
        <v>1192.5000000000002</v>
      </c>
      <c r="D16" s="131">
        <f t="shared" si="0"/>
        <v>621.00178210223487</v>
      </c>
      <c r="E16" s="38">
        <v>25</v>
      </c>
      <c r="F16" s="46">
        <f t="shared" si="1"/>
        <v>24265.872492400005</v>
      </c>
      <c r="G16" s="46">
        <f t="shared" si="2"/>
        <v>1633.3906499999996</v>
      </c>
      <c r="I16" s="252" t="s">
        <v>59</v>
      </c>
      <c r="J16" s="246">
        <f>IF(L8&gt;=L4,L8,L4)</f>
        <v>1323</v>
      </c>
      <c r="K16" s="248">
        <v>9</v>
      </c>
      <c r="L16" s="250">
        <f>J16*K16%</f>
        <v>119.07</v>
      </c>
    </row>
    <row r="17" spans="1:14" ht="16.5" customHeight="1" thickBot="1" x14ac:dyDescent="0.25">
      <c r="A17" s="38">
        <v>24</v>
      </c>
      <c r="B17" s="46">
        <f t="shared" si="3"/>
        <v>1791.8897229280001</v>
      </c>
      <c r="C17" s="189">
        <f t="shared" si="4"/>
        <v>1144.8</v>
      </c>
      <c r="D17" s="131">
        <f t="shared" si="0"/>
        <v>596.16171081814548</v>
      </c>
      <c r="E17" s="38">
        <v>24</v>
      </c>
      <c r="F17" s="46">
        <f t="shared" si="1"/>
        <v>23295.237592704005</v>
      </c>
      <c r="G17" s="46">
        <f t="shared" si="2"/>
        <v>1633.3906499999996</v>
      </c>
      <c r="I17" s="253"/>
      <c r="J17" s="247"/>
      <c r="K17" s="249">
        <v>0.2</v>
      </c>
      <c r="L17" s="251"/>
    </row>
    <row r="18" spans="1:14" ht="16.5" customHeight="1" thickBot="1" x14ac:dyDescent="0.25">
      <c r="A18" s="38">
        <v>23</v>
      </c>
      <c r="B18" s="46">
        <f t="shared" si="3"/>
        <v>1717.2276511393331</v>
      </c>
      <c r="C18" s="189">
        <f t="shared" si="4"/>
        <v>1097.1000000000001</v>
      </c>
      <c r="D18" s="131">
        <f t="shared" si="0"/>
        <v>571.32163953405609</v>
      </c>
      <c r="E18" s="38">
        <v>23</v>
      </c>
      <c r="F18" s="46">
        <f t="shared" si="1"/>
        <v>22324.602693008001</v>
      </c>
      <c r="G18" s="46">
        <f t="shared" si="2"/>
        <v>1633.3906499999996</v>
      </c>
      <c r="I18" s="232" t="s">
        <v>63</v>
      </c>
      <c r="J18" s="233"/>
      <c r="K18" s="134">
        <f>(K14+K16)</f>
        <v>33.269999999999996</v>
      </c>
      <c r="L18" s="130">
        <f>SUM(L14:L17)</f>
        <v>567.43398000000002</v>
      </c>
    </row>
    <row r="19" spans="1:14" ht="16.5" customHeight="1" x14ac:dyDescent="0.2">
      <c r="A19" s="38">
        <v>22</v>
      </c>
      <c r="B19" s="46">
        <f t="shared" si="3"/>
        <v>1642.5655793506667</v>
      </c>
      <c r="C19" s="189">
        <f t="shared" si="4"/>
        <v>1049.4000000000001</v>
      </c>
      <c r="D19" s="131">
        <f t="shared" si="0"/>
        <v>546.4815682499667</v>
      </c>
      <c r="E19" s="38">
        <v>22</v>
      </c>
      <c r="F19" s="46">
        <f t="shared" si="1"/>
        <v>21353.967793312</v>
      </c>
      <c r="G19" s="46">
        <f t="shared" si="2"/>
        <v>1633.3906499999996</v>
      </c>
      <c r="I19" s="126"/>
      <c r="J19" s="127"/>
      <c r="K19" s="128"/>
      <c r="L19" s="129"/>
    </row>
    <row r="20" spans="1:14" ht="16.5" customHeight="1" x14ac:dyDescent="0.2">
      <c r="A20" s="38">
        <v>21</v>
      </c>
      <c r="B20" s="46">
        <f t="shared" si="3"/>
        <v>1567.903507562</v>
      </c>
      <c r="C20" s="189">
        <f t="shared" si="4"/>
        <v>1001.7</v>
      </c>
      <c r="D20" s="131">
        <f t="shared" si="0"/>
        <v>521.64149696587731</v>
      </c>
      <c r="E20" s="38">
        <v>21</v>
      </c>
      <c r="F20" s="46">
        <f t="shared" si="1"/>
        <v>20383.332893616</v>
      </c>
      <c r="G20" s="46">
        <f t="shared" si="2"/>
        <v>1633.3906499999996</v>
      </c>
      <c r="I20" s="221" t="s">
        <v>77</v>
      </c>
      <c r="J20" s="221"/>
      <c r="K20" s="221"/>
      <c r="L20" s="221"/>
      <c r="M20" s="221"/>
      <c r="N20" s="147"/>
    </row>
    <row r="21" spans="1:14" ht="16.5" customHeight="1" x14ac:dyDescent="0.2">
      <c r="A21" s="38">
        <v>20</v>
      </c>
      <c r="B21" s="46">
        <f t="shared" si="3"/>
        <v>1493.2414357733333</v>
      </c>
      <c r="C21" s="189">
        <f t="shared" si="4"/>
        <v>954.00000000000011</v>
      </c>
      <c r="D21" s="131">
        <f t="shared" si="0"/>
        <v>496.80142568178786</v>
      </c>
      <c r="E21" s="38">
        <v>20</v>
      </c>
      <c r="F21" s="46">
        <f t="shared" si="1"/>
        <v>19412.697993920003</v>
      </c>
      <c r="G21" s="46">
        <f t="shared" si="2"/>
        <v>1633.3906499999996</v>
      </c>
      <c r="I21" s="221"/>
      <c r="J21" s="221"/>
      <c r="K21" s="221"/>
      <c r="L21" s="221"/>
      <c r="M21" s="221"/>
      <c r="N21" s="147"/>
    </row>
    <row r="22" spans="1:14" ht="16.5" customHeight="1" thickBot="1" x14ac:dyDescent="0.25">
      <c r="A22" s="38">
        <v>19</v>
      </c>
      <c r="B22" s="46">
        <f t="shared" si="3"/>
        <v>1418.5793639846665</v>
      </c>
      <c r="C22" s="189">
        <f t="shared" si="4"/>
        <v>906.30000000000007</v>
      </c>
      <c r="D22" s="131">
        <f t="shared" si="0"/>
        <v>471.96135439769847</v>
      </c>
      <c r="E22" s="38">
        <v>19</v>
      </c>
      <c r="F22" s="46">
        <f t="shared" si="1"/>
        <v>18442.063094224002</v>
      </c>
      <c r="G22" s="46">
        <f t="shared" si="2"/>
        <v>1633.3906499999996</v>
      </c>
    </row>
    <row r="23" spans="1:14" ht="16.5" customHeight="1" x14ac:dyDescent="0.2">
      <c r="A23" s="38">
        <v>18</v>
      </c>
      <c r="B23" s="46">
        <f t="shared" si="3"/>
        <v>1343.9172921960001</v>
      </c>
      <c r="C23" s="189">
        <f t="shared" si="4"/>
        <v>858.60000000000014</v>
      </c>
      <c r="D23" s="131">
        <f t="shared" si="0"/>
        <v>447.12128311360914</v>
      </c>
      <c r="E23" s="38">
        <v>18</v>
      </c>
      <c r="F23" s="46">
        <f t="shared" si="1"/>
        <v>17471.428194528002</v>
      </c>
      <c r="G23" s="46">
        <f t="shared" si="2"/>
        <v>1633.3906499999996</v>
      </c>
      <c r="I23" s="236" t="s">
        <v>64</v>
      </c>
      <c r="J23" s="236"/>
      <c r="K23" s="237"/>
      <c r="L23" s="256">
        <v>0</v>
      </c>
    </row>
    <row r="24" spans="1:14" ht="16.5" customHeight="1" thickBot="1" x14ac:dyDescent="0.25">
      <c r="A24" s="38">
        <v>17</v>
      </c>
      <c r="B24" s="46">
        <f t="shared" si="3"/>
        <v>1269.2552204073334</v>
      </c>
      <c r="C24" s="189">
        <f t="shared" si="4"/>
        <v>810.9</v>
      </c>
      <c r="D24" s="131">
        <f t="shared" si="0"/>
        <v>422.28121182951975</v>
      </c>
      <c r="E24" s="38">
        <v>17</v>
      </c>
      <c r="F24" s="46">
        <f t="shared" si="1"/>
        <v>16500.793294832001</v>
      </c>
      <c r="G24" s="46">
        <f t="shared" si="2"/>
        <v>1633.3906499999996</v>
      </c>
      <c r="I24" s="236"/>
      <c r="J24" s="236"/>
      <c r="K24" s="237"/>
      <c r="L24" s="257"/>
    </row>
    <row r="25" spans="1:14" ht="16.5" customHeight="1" thickBot="1" x14ac:dyDescent="0.25">
      <c r="A25" s="38">
        <v>16</v>
      </c>
      <c r="B25" s="46">
        <f t="shared" si="3"/>
        <v>1194.5931486186666</v>
      </c>
      <c r="C25" s="189">
        <f t="shared" si="4"/>
        <v>763.2</v>
      </c>
      <c r="D25" s="131">
        <f t="shared" si="0"/>
        <v>397.4411405454303</v>
      </c>
      <c r="E25" s="38">
        <v>16</v>
      </c>
      <c r="F25" s="46">
        <f t="shared" si="1"/>
        <v>15530.158395136003</v>
      </c>
      <c r="G25" s="46">
        <f t="shared" si="2"/>
        <v>1633.3906499999996</v>
      </c>
    </row>
    <row r="26" spans="1:14" ht="16.5" customHeight="1" x14ac:dyDescent="0.2">
      <c r="A26" s="38">
        <v>15</v>
      </c>
      <c r="B26" s="46">
        <f t="shared" si="3"/>
        <v>1119.9310768299999</v>
      </c>
      <c r="C26" s="189">
        <f t="shared" si="4"/>
        <v>715.5</v>
      </c>
      <c r="D26" s="131">
        <f t="shared" si="0"/>
        <v>372.60106926134091</v>
      </c>
      <c r="E26" s="38">
        <v>15</v>
      </c>
      <c r="F26" s="46">
        <f t="shared" si="1"/>
        <v>14559.523495440002</v>
      </c>
      <c r="G26" s="46">
        <f t="shared" si="2"/>
        <v>1633.3906499999996</v>
      </c>
      <c r="I26" s="236" t="s">
        <v>68</v>
      </c>
      <c r="J26" s="236"/>
      <c r="K26" s="237"/>
      <c r="L26" s="234">
        <v>0</v>
      </c>
    </row>
    <row r="27" spans="1:14" ht="16.5" customHeight="1" thickBot="1" x14ac:dyDescent="0.25">
      <c r="A27" s="38">
        <v>14</v>
      </c>
      <c r="B27" s="46">
        <f t="shared" si="3"/>
        <v>1045.2690050413332</v>
      </c>
      <c r="C27" s="189">
        <f t="shared" si="4"/>
        <v>667.80000000000018</v>
      </c>
      <c r="D27" s="131">
        <f t="shared" si="0"/>
        <v>347.76099797725152</v>
      </c>
      <c r="E27" s="38">
        <v>14</v>
      </c>
      <c r="F27" s="46">
        <f t="shared" si="1"/>
        <v>13588.888595744002</v>
      </c>
      <c r="G27" s="46">
        <f t="shared" si="2"/>
        <v>1633.3906499999996</v>
      </c>
      <c r="I27" s="236"/>
      <c r="J27" s="236"/>
      <c r="K27" s="237"/>
      <c r="L27" s="235"/>
    </row>
    <row r="28" spans="1:14" ht="16.5" customHeight="1" thickBot="1" x14ac:dyDescent="0.25">
      <c r="A28" s="38">
        <v>13</v>
      </c>
      <c r="B28" s="46">
        <f t="shared" si="3"/>
        <v>970.60693325266664</v>
      </c>
      <c r="C28" s="189">
        <f t="shared" si="4"/>
        <v>620.1</v>
      </c>
      <c r="D28" s="131">
        <f t="shared" si="0"/>
        <v>322.92092669316213</v>
      </c>
      <c r="E28" s="38">
        <v>13</v>
      </c>
      <c r="F28" s="46">
        <f t="shared" si="1"/>
        <v>12618.253696048003</v>
      </c>
      <c r="G28" s="46">
        <f t="shared" si="2"/>
        <v>1633.3906499999996</v>
      </c>
    </row>
    <row r="29" spans="1:14" ht="16.5" customHeight="1" x14ac:dyDescent="0.2">
      <c r="A29" s="38">
        <v>12</v>
      </c>
      <c r="B29" s="46">
        <f t="shared" si="3"/>
        <v>895.94486146400004</v>
      </c>
      <c r="C29" s="189">
        <f t="shared" si="4"/>
        <v>572.4</v>
      </c>
      <c r="D29" s="131">
        <f t="shared" si="0"/>
        <v>298.08085540907274</v>
      </c>
      <c r="E29" s="38">
        <v>12</v>
      </c>
      <c r="F29" s="46">
        <f t="shared" si="1"/>
        <v>11647.618796352002</v>
      </c>
      <c r="G29" s="46">
        <f t="shared" si="2"/>
        <v>1633.3906499999996</v>
      </c>
      <c r="I29" s="238" t="s">
        <v>65</v>
      </c>
      <c r="J29" s="239"/>
      <c r="K29" s="239"/>
      <c r="L29" s="240"/>
    </row>
    <row r="30" spans="1:14" ht="16.5" customHeight="1" thickBot="1" x14ac:dyDescent="0.25">
      <c r="A30" s="38">
        <v>11</v>
      </c>
      <c r="B30" s="46">
        <f t="shared" si="3"/>
        <v>821.28278967533333</v>
      </c>
      <c r="C30" s="189">
        <f t="shared" si="4"/>
        <v>524.70000000000005</v>
      </c>
      <c r="D30" s="131">
        <f t="shared" si="0"/>
        <v>273.24078412498335</v>
      </c>
      <c r="E30" s="38">
        <v>11</v>
      </c>
      <c r="F30" s="46">
        <f t="shared" si="1"/>
        <v>10676.983896656</v>
      </c>
      <c r="G30" s="46">
        <f t="shared" si="2"/>
        <v>1633.3906499999996</v>
      </c>
      <c r="I30" s="241"/>
      <c r="J30" s="242"/>
      <c r="K30" s="242"/>
      <c r="L30" s="243"/>
    </row>
    <row r="31" spans="1:14" ht="16.5" customHeight="1" thickBot="1" x14ac:dyDescent="0.25">
      <c r="A31" s="38">
        <v>10</v>
      </c>
      <c r="B31" s="46">
        <f t="shared" si="3"/>
        <v>746.62071788666663</v>
      </c>
      <c r="C31" s="189">
        <f t="shared" si="4"/>
        <v>477.00000000000006</v>
      </c>
      <c r="D31" s="131">
        <f t="shared" si="0"/>
        <v>248.40071284089393</v>
      </c>
      <c r="E31" s="38">
        <v>10</v>
      </c>
      <c r="F31" s="46">
        <f t="shared" si="1"/>
        <v>9706.3489969600014</v>
      </c>
      <c r="G31" s="46">
        <f t="shared" si="2"/>
        <v>1633.3906499999996</v>
      </c>
      <c r="I31" s="137" t="s">
        <v>69</v>
      </c>
      <c r="J31" s="135" t="s">
        <v>55</v>
      </c>
      <c r="K31" s="133" t="s">
        <v>70</v>
      </c>
      <c r="L31" s="119" t="s">
        <v>57</v>
      </c>
    </row>
    <row r="32" spans="1:14" ht="16.5" customHeight="1" x14ac:dyDescent="0.2">
      <c r="A32" s="38">
        <v>9</v>
      </c>
      <c r="B32" s="46">
        <f t="shared" si="3"/>
        <v>671.95864609800003</v>
      </c>
      <c r="C32" s="189">
        <f t="shared" si="4"/>
        <v>429.30000000000007</v>
      </c>
      <c r="D32" s="131">
        <f t="shared" si="0"/>
        <v>223.56064155680457</v>
      </c>
      <c r="E32" s="38">
        <v>9</v>
      </c>
      <c r="F32" s="46">
        <f t="shared" si="1"/>
        <v>8735.7140972640009</v>
      </c>
      <c r="G32" s="46">
        <f t="shared" si="2"/>
        <v>1633.3906499999996</v>
      </c>
      <c r="I32" s="263">
        <f>((L23/37.5*7.5*5)/7)*30*$D$43</f>
        <v>0</v>
      </c>
      <c r="J32" s="265">
        <f>IF(L26&lt;I32,I32,L26)</f>
        <v>0</v>
      </c>
      <c r="K32" s="267">
        <v>33.270000000000003</v>
      </c>
      <c r="L32" s="250">
        <f>J32*K32%</f>
        <v>0</v>
      </c>
    </row>
    <row r="33" spans="1:14" ht="16.5" customHeight="1" thickBot="1" x14ac:dyDescent="0.25">
      <c r="A33" s="38">
        <v>8</v>
      </c>
      <c r="B33" s="46">
        <f t="shared" si="3"/>
        <v>597.29657430933332</v>
      </c>
      <c r="C33" s="189">
        <f t="shared" si="4"/>
        <v>381.6</v>
      </c>
      <c r="D33" s="131">
        <f t="shared" si="0"/>
        <v>198.72057027271515</v>
      </c>
      <c r="E33" s="38">
        <v>8</v>
      </c>
      <c r="F33" s="46">
        <f t="shared" si="1"/>
        <v>7765.0791975680013</v>
      </c>
      <c r="G33" s="46">
        <f t="shared" si="2"/>
        <v>1633.3906499999996</v>
      </c>
      <c r="I33" s="264"/>
      <c r="J33" s="266"/>
      <c r="K33" s="268"/>
      <c r="L33" s="269"/>
    </row>
    <row r="34" spans="1:14" ht="16.5" customHeight="1" thickBot="1" x14ac:dyDescent="0.25">
      <c r="A34" s="38">
        <v>7</v>
      </c>
      <c r="B34" s="46">
        <f t="shared" si="3"/>
        <v>522.63450252066662</v>
      </c>
      <c r="C34" s="189">
        <f t="shared" si="4"/>
        <v>333.90000000000009</v>
      </c>
      <c r="D34" s="131">
        <f t="shared" si="0"/>
        <v>173.88049898862576</v>
      </c>
      <c r="E34" s="38">
        <v>7</v>
      </c>
      <c r="F34" s="46">
        <f t="shared" si="1"/>
        <v>6794.4442978720008</v>
      </c>
      <c r="G34" s="46">
        <f t="shared" si="2"/>
        <v>1633.3906499999996</v>
      </c>
      <c r="I34" s="258" t="s">
        <v>66</v>
      </c>
      <c r="J34" s="259"/>
      <c r="K34" s="260"/>
      <c r="L34" s="130">
        <f>SUM(L32)</f>
        <v>0</v>
      </c>
    </row>
    <row r="35" spans="1:14" ht="16.5" customHeight="1" x14ac:dyDescent="0.2">
      <c r="A35" s="38">
        <v>6</v>
      </c>
      <c r="B35" s="46">
        <f t="shared" si="3"/>
        <v>447.97243073200002</v>
      </c>
      <c r="C35" s="189">
        <f t="shared" si="4"/>
        <v>286.2</v>
      </c>
      <c r="D35" s="131">
        <f t="shared" si="0"/>
        <v>149.04042770453637</v>
      </c>
      <c r="E35" s="38">
        <v>6</v>
      </c>
      <c r="F35" s="46">
        <f t="shared" si="1"/>
        <v>5823.8093981760012</v>
      </c>
      <c r="G35" s="46">
        <f t="shared" si="2"/>
        <v>1633.3906499999996</v>
      </c>
      <c r="N35" s="136"/>
    </row>
    <row r="36" spans="1:14" ht="16.5" customHeight="1" x14ac:dyDescent="0.2">
      <c r="A36" s="38">
        <v>5</v>
      </c>
      <c r="B36" s="46">
        <f t="shared" si="3"/>
        <v>373.31035894333331</v>
      </c>
      <c r="C36" s="189">
        <f t="shared" si="4"/>
        <v>238.50000000000003</v>
      </c>
      <c r="D36" s="131">
        <f t="shared" si="0"/>
        <v>124.20035642044697</v>
      </c>
      <c r="E36" s="38">
        <v>5</v>
      </c>
      <c r="F36" s="46">
        <f t="shared" si="1"/>
        <v>4853.1744984800007</v>
      </c>
      <c r="G36" s="46">
        <f t="shared" si="2"/>
        <v>1614.6511556442958</v>
      </c>
      <c r="I36" s="261" t="s">
        <v>67</v>
      </c>
      <c r="J36" s="261"/>
      <c r="K36" s="261"/>
      <c r="L36" s="261"/>
      <c r="M36" s="262" t="s">
        <v>101</v>
      </c>
      <c r="N36" s="136"/>
    </row>
    <row r="37" spans="1:14" ht="16.5" customHeight="1" x14ac:dyDescent="0.2">
      <c r="A37" s="38">
        <v>4</v>
      </c>
      <c r="B37" s="46">
        <f t="shared" si="3"/>
        <v>298.64828715466666</v>
      </c>
      <c r="C37" s="189">
        <f t="shared" si="4"/>
        <v>190.8</v>
      </c>
      <c r="D37" s="131">
        <f t="shared" si="0"/>
        <v>99.360285136357575</v>
      </c>
      <c r="E37" s="38">
        <v>4</v>
      </c>
      <c r="F37" s="46">
        <f t="shared" si="1"/>
        <v>3882.5395987840006</v>
      </c>
      <c r="G37" s="46">
        <f t="shared" si="2"/>
        <v>1291.7209245154368</v>
      </c>
      <c r="I37" s="261"/>
      <c r="J37" s="261"/>
      <c r="K37" s="261"/>
      <c r="L37" s="261"/>
      <c r="M37" s="262"/>
      <c r="N37" s="136"/>
    </row>
    <row r="38" spans="1:14" ht="16.5" customHeight="1" x14ac:dyDescent="0.2">
      <c r="A38" s="38">
        <v>3</v>
      </c>
      <c r="B38" s="46">
        <f t="shared" si="3"/>
        <v>223.98621536600001</v>
      </c>
      <c r="C38" s="189">
        <f t="shared" si="4"/>
        <v>143.1</v>
      </c>
      <c r="D38" s="131">
        <f t="shared" si="0"/>
        <v>74.520213852268185</v>
      </c>
      <c r="E38" s="38">
        <v>3</v>
      </c>
      <c r="F38" s="46">
        <f t="shared" si="1"/>
        <v>2911.9046990880006</v>
      </c>
      <c r="G38" s="46">
        <f t="shared" si="2"/>
        <v>968.79069338657757</v>
      </c>
    </row>
    <row r="39" spans="1:14" ht="16.5" customHeight="1" x14ac:dyDescent="0.2">
      <c r="A39" s="38">
        <v>2</v>
      </c>
      <c r="B39" s="46">
        <f t="shared" si="3"/>
        <v>149.32414357733333</v>
      </c>
      <c r="C39" s="189">
        <f t="shared" si="4"/>
        <v>95.4</v>
      </c>
      <c r="D39" s="131">
        <f t="shared" si="0"/>
        <v>49.680142568178788</v>
      </c>
      <c r="E39" s="38">
        <v>2</v>
      </c>
      <c r="F39" s="46">
        <f t="shared" si="1"/>
        <v>1941.2697993920003</v>
      </c>
      <c r="G39" s="46">
        <f t="shared" si="2"/>
        <v>645.86046225771838</v>
      </c>
    </row>
    <row r="40" spans="1:14" ht="16.5" customHeight="1" x14ac:dyDescent="0.2">
      <c r="A40" s="39">
        <v>1</v>
      </c>
      <c r="B40" s="198">
        <f t="shared" si="3"/>
        <v>74.662071788666665</v>
      </c>
      <c r="C40" s="199">
        <f t="shared" si="4"/>
        <v>47.7</v>
      </c>
      <c r="D40" s="200">
        <f t="shared" si="0"/>
        <v>24.840071284089394</v>
      </c>
      <c r="E40" s="39">
        <v>1</v>
      </c>
      <c r="F40" s="198">
        <f t="shared" si="1"/>
        <v>970.63489969600016</v>
      </c>
      <c r="G40" s="198">
        <f t="shared" si="2"/>
        <v>322.93023112885919</v>
      </c>
    </row>
    <row r="41" spans="1:14" hidden="1" x14ac:dyDescent="0.2">
      <c r="D41" s="197"/>
    </row>
    <row r="42" spans="1:14" ht="13.5" hidden="1" thickBot="1" x14ac:dyDescent="0.25"/>
    <row r="43" spans="1:14" ht="39" hidden="1" thickBot="1" x14ac:dyDescent="0.25">
      <c r="B43" s="194" t="s">
        <v>14</v>
      </c>
      <c r="C43" s="195"/>
      <c r="D43" s="196">
        <v>11.13</v>
      </c>
      <c r="E43" s="17"/>
    </row>
    <row r="44" spans="1:14" hidden="1" x14ac:dyDescent="0.2"/>
  </sheetData>
  <sheetProtection algorithmName="SHA-512" hashValue="VHZpyMyFaRsw8W1Bt3W0IhMwhE0c5dUNdNm1EscqQddodtI5fe8KgeNnfqFbHBh/uzU2WEfngqopNRX79JHe2A==" saltValue="iyxhPAY278+bVJsUJ6sNgg==" spinCount="100000" sheet="1" objects="1" scenarios="1"/>
  <protectedRanges>
    <protectedRange sqref="M36" name="CALCULO RC"/>
    <protectedRange sqref="L8" name="RET TC_1"/>
    <protectedRange sqref="L26" name="RET TC_2"/>
    <protectedRange sqref="L23" name="DED_1"/>
  </protectedRanges>
  <mergeCells count="35">
    <mergeCell ref="I34:K34"/>
    <mergeCell ref="I36:L37"/>
    <mergeCell ref="M36:M37"/>
    <mergeCell ref="I32:I33"/>
    <mergeCell ref="J32:J33"/>
    <mergeCell ref="K32:K33"/>
    <mergeCell ref="L32:L33"/>
    <mergeCell ref="I26:K27"/>
    <mergeCell ref="L23:L24"/>
    <mergeCell ref="I23:K24"/>
    <mergeCell ref="L26:L27"/>
    <mergeCell ref="I29:L30"/>
    <mergeCell ref="J14:J15"/>
    <mergeCell ref="K14:K15"/>
    <mergeCell ref="L16:L17"/>
    <mergeCell ref="K16:K17"/>
    <mergeCell ref="I16:I17"/>
    <mergeCell ref="J16:J17"/>
    <mergeCell ref="L14:L15"/>
    <mergeCell ref="I20:M21"/>
    <mergeCell ref="A1:G1"/>
    <mergeCell ref="I2:K2"/>
    <mergeCell ref="I4:I5"/>
    <mergeCell ref="J4:J5"/>
    <mergeCell ref="K4:K5"/>
    <mergeCell ref="L2:M2"/>
    <mergeCell ref="B2:D2"/>
    <mergeCell ref="F2:G2"/>
    <mergeCell ref="L4:L5"/>
    <mergeCell ref="M4:M5"/>
    <mergeCell ref="I18:J18"/>
    <mergeCell ref="L8:L9"/>
    <mergeCell ref="I8:K9"/>
    <mergeCell ref="I11:L12"/>
    <mergeCell ref="I14:I15"/>
  </mergeCells>
  <phoneticPr fontId="3" type="noConversion"/>
  <hyperlinks>
    <hyperlink ref="M36:M37" r:id="rId1" display="CALCULO RC E INDEMNIZACION" xr:uid="{00000000-0004-0000-0000-000000000000}"/>
  </hyperlinks>
  <pageMargins left="0.94488188976377963" right="0.86614173228346458" top="9.46969696969697E-3" bottom="0.39370078740157483" header="0" footer="0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1"/>
  <sheetViews>
    <sheetView topLeftCell="B31" zoomScaleNormal="100" workbookViewId="0">
      <selection activeCell="L6" sqref="L6"/>
    </sheetView>
  </sheetViews>
  <sheetFormatPr baseColWidth="10" defaultColWidth="11.5703125" defaultRowHeight="12.75" x14ac:dyDescent="0.2"/>
  <cols>
    <col min="1" max="1" width="18.42578125" style="33" customWidth="1"/>
    <col min="2" max="2" width="24.7109375" style="50" customWidth="1"/>
    <col min="3" max="3" width="10.7109375" style="51" hidden="1" customWidth="1"/>
    <col min="4" max="4" width="18.42578125" style="52" customWidth="1"/>
    <col min="5" max="5" width="18.42578125" style="8" customWidth="1"/>
    <col min="6" max="6" width="24.7109375" style="49" customWidth="1"/>
    <col min="7" max="7" width="18.42578125" style="49" customWidth="1"/>
    <col min="8" max="8" width="11.5703125" style="8"/>
    <col min="9" max="9" width="19.28515625" style="19" customWidth="1"/>
    <col min="10" max="10" width="17" style="8" bestFit="1" customWidth="1"/>
    <col min="11" max="11" width="19.7109375" style="8" bestFit="1" customWidth="1"/>
    <col min="12" max="12" width="16.28515625" style="8" bestFit="1" customWidth="1"/>
    <col min="13" max="13" width="16.7109375" style="8" customWidth="1"/>
    <col min="14" max="16384" width="11.5703125" style="8"/>
  </cols>
  <sheetData>
    <row r="1" spans="1:14" ht="65.25" customHeight="1" x14ac:dyDescent="0.2">
      <c r="A1" s="222" t="s">
        <v>110</v>
      </c>
      <c r="B1" s="223"/>
      <c r="C1" s="223"/>
      <c r="D1" s="223"/>
      <c r="E1" s="223"/>
      <c r="F1" s="223"/>
      <c r="G1" s="223"/>
    </row>
    <row r="2" spans="1:14" s="47" customFormat="1" ht="24" customHeight="1" x14ac:dyDescent="0.2">
      <c r="A2" s="48"/>
      <c r="B2" s="270" t="s">
        <v>47</v>
      </c>
      <c r="C2" s="270"/>
      <c r="D2" s="271"/>
      <c r="E2" s="57"/>
      <c r="F2" s="272" t="s">
        <v>48</v>
      </c>
      <c r="G2" s="273"/>
      <c r="I2" s="224" t="s">
        <v>50</v>
      </c>
      <c r="J2" s="224"/>
      <c r="K2" s="224"/>
      <c r="L2" s="224" t="s">
        <v>54</v>
      </c>
      <c r="M2" s="224"/>
      <c r="N2" s="36"/>
    </row>
    <row r="3" spans="1:14" s="27" customFormat="1" ht="38.25" x14ac:dyDescent="0.2">
      <c r="A3" s="40" t="s">
        <v>45</v>
      </c>
      <c r="B3" s="61" t="s">
        <v>46</v>
      </c>
      <c r="C3" s="62" t="s">
        <v>15</v>
      </c>
      <c r="D3" s="63" t="s">
        <v>108</v>
      </c>
      <c r="E3" s="40" t="s">
        <v>45</v>
      </c>
      <c r="F3" s="64" t="s">
        <v>46</v>
      </c>
      <c r="G3" s="63" t="s">
        <v>109</v>
      </c>
      <c r="I3" s="124" t="s">
        <v>49</v>
      </c>
      <c r="J3" s="124" t="s">
        <v>60</v>
      </c>
      <c r="K3" s="124" t="s">
        <v>61</v>
      </c>
      <c r="L3" s="125" t="s">
        <v>52</v>
      </c>
      <c r="M3" s="124" t="s">
        <v>53</v>
      </c>
    </row>
    <row r="4" spans="1:14" ht="15" customHeight="1" x14ac:dyDescent="0.2">
      <c r="A4" s="58">
        <v>37.5</v>
      </c>
      <c r="B4" s="59">
        <f>PARAMETROS!B23</f>
        <v>2299.8590519250001</v>
      </c>
      <c r="C4" s="60"/>
      <c r="D4" s="59"/>
      <c r="E4" s="58">
        <v>37.5</v>
      </c>
      <c r="F4" s="59">
        <f>PARAMETROS!C23</f>
        <v>2989.8152879499999</v>
      </c>
      <c r="G4" s="59">
        <f>IF(F4&gt;=$K$4,$K$4*$K$18%,F4*$K$18%)</f>
        <v>994.71154630096476</v>
      </c>
      <c r="I4" s="225">
        <v>1</v>
      </c>
      <c r="J4" s="274">
        <v>1847.4</v>
      </c>
      <c r="K4" s="275">
        <v>4909.5</v>
      </c>
      <c r="L4" s="276">
        <v>1323</v>
      </c>
      <c r="M4" s="275">
        <v>4909.5</v>
      </c>
    </row>
    <row r="5" spans="1:14" ht="15" customHeight="1" x14ac:dyDescent="0.2">
      <c r="A5" s="38">
        <v>36</v>
      </c>
      <c r="B5" s="53">
        <f>PRODUCT(B$4,A5)/A$4</f>
        <v>2207.8646898480001</v>
      </c>
      <c r="C5" s="54">
        <f t="shared" ref="C5:C40" si="0">(A5/$A$4*7.5*5)/7*30*$C$46</f>
        <v>1717.2000000000003</v>
      </c>
      <c r="D5" s="53">
        <f>IF(B5&lt;C5,C5*$K$18%,B5*$K$18%)</f>
        <v>734.55658231242955</v>
      </c>
      <c r="E5" s="38">
        <v>36</v>
      </c>
      <c r="F5" s="53">
        <f>PRODUCT(F$4,E5)/E$4</f>
        <v>2870.2226764319998</v>
      </c>
      <c r="G5" s="59">
        <f t="shared" ref="G5:G40" si="1">IF(F5&gt;=$K$4,$K$4*$K$18%,F5*$K$18%)</f>
        <v>954.92308444892615</v>
      </c>
      <c r="I5" s="225"/>
      <c r="J5" s="274"/>
      <c r="K5" s="275"/>
      <c r="L5" s="276"/>
      <c r="M5" s="275"/>
    </row>
    <row r="6" spans="1:14" ht="15" customHeight="1" x14ac:dyDescent="0.2">
      <c r="A6" s="38">
        <v>35</v>
      </c>
      <c r="B6" s="53">
        <f>PRODUCT(B$4,A6)/A$4</f>
        <v>2146.5351151300001</v>
      </c>
      <c r="C6" s="54">
        <f t="shared" si="0"/>
        <v>1669.5000000000002</v>
      </c>
      <c r="D6" s="53">
        <f t="shared" ref="D6:D40" si="2">IF(B6&lt;C6,C6*$K$18%,B6*$K$18%)</f>
        <v>714.15223280375096</v>
      </c>
      <c r="E6" s="38">
        <v>35</v>
      </c>
      <c r="F6" s="53">
        <f>PRODUCT(F$4,E6)/E$4</f>
        <v>2790.494268753333</v>
      </c>
      <c r="G6" s="59">
        <f t="shared" si="1"/>
        <v>928.3974432142337</v>
      </c>
      <c r="I6" s="35"/>
      <c r="L6" s="115"/>
    </row>
    <row r="7" spans="1:14" ht="15" customHeight="1" thickBot="1" x14ac:dyDescent="0.25">
      <c r="A7" s="38">
        <v>34</v>
      </c>
      <c r="B7" s="53">
        <f t="shared" ref="B7:B40" si="3">PRODUCT(B$4,A7)/A$4</f>
        <v>2085.2055404120001</v>
      </c>
      <c r="C7" s="54">
        <f t="shared" si="0"/>
        <v>1621.8</v>
      </c>
      <c r="D7" s="53">
        <f t="shared" si="2"/>
        <v>693.74788329507237</v>
      </c>
      <c r="E7" s="38">
        <v>34</v>
      </c>
      <c r="F7" s="53">
        <f t="shared" ref="F7:F40" si="4">PRODUCT(F$4,E7)/E$4</f>
        <v>2710.7658610746662</v>
      </c>
      <c r="G7" s="59">
        <f t="shared" si="1"/>
        <v>901.87180197954126</v>
      </c>
      <c r="I7" s="35"/>
      <c r="J7" s="19"/>
      <c r="L7" s="115"/>
    </row>
    <row r="8" spans="1:14" ht="15" customHeight="1" x14ac:dyDescent="0.2">
      <c r="A8" s="38">
        <v>33</v>
      </c>
      <c r="B8" s="53">
        <f t="shared" si="3"/>
        <v>2023.8759656940001</v>
      </c>
      <c r="C8" s="54">
        <f t="shared" si="0"/>
        <v>1574.1000000000004</v>
      </c>
      <c r="D8" s="53">
        <f t="shared" si="2"/>
        <v>673.34353378639366</v>
      </c>
      <c r="E8" s="38">
        <v>33</v>
      </c>
      <c r="F8" s="53">
        <f t="shared" si="4"/>
        <v>2631.0374533959998</v>
      </c>
      <c r="G8" s="59">
        <f t="shared" si="1"/>
        <v>875.34616074484893</v>
      </c>
      <c r="I8" s="236" t="s">
        <v>88</v>
      </c>
      <c r="J8" s="236"/>
      <c r="K8" s="237"/>
      <c r="L8" s="234">
        <v>0</v>
      </c>
    </row>
    <row r="9" spans="1:14" ht="15" customHeight="1" thickBot="1" x14ac:dyDescent="0.25">
      <c r="A9" s="38">
        <v>32</v>
      </c>
      <c r="B9" s="53">
        <f t="shared" si="3"/>
        <v>1962.5463909760001</v>
      </c>
      <c r="C9" s="54">
        <f t="shared" si="0"/>
        <v>1526.4</v>
      </c>
      <c r="D9" s="53">
        <f t="shared" si="2"/>
        <v>652.93918427771507</v>
      </c>
      <c r="E9" s="38">
        <v>32</v>
      </c>
      <c r="F9" s="53">
        <f t="shared" si="4"/>
        <v>2551.309045717333</v>
      </c>
      <c r="G9" s="59">
        <f t="shared" si="1"/>
        <v>848.82051951015649</v>
      </c>
      <c r="I9" s="236"/>
      <c r="J9" s="236"/>
      <c r="K9" s="237"/>
      <c r="L9" s="235"/>
    </row>
    <row r="10" spans="1:14" ht="15" customHeight="1" thickBot="1" x14ac:dyDescent="0.25">
      <c r="A10" s="38">
        <v>31</v>
      </c>
      <c r="B10" s="53">
        <f t="shared" si="3"/>
        <v>1901.2168162580001</v>
      </c>
      <c r="C10" s="54">
        <f t="shared" si="0"/>
        <v>1478.7</v>
      </c>
      <c r="D10" s="53">
        <f t="shared" si="2"/>
        <v>632.53483476903648</v>
      </c>
      <c r="E10" s="38">
        <v>31</v>
      </c>
      <c r="F10" s="53">
        <f t="shared" si="4"/>
        <v>2471.5806380386666</v>
      </c>
      <c r="G10" s="59">
        <f t="shared" si="1"/>
        <v>822.29487827546427</v>
      </c>
      <c r="I10" s="120"/>
      <c r="J10" s="121"/>
      <c r="K10" s="122"/>
      <c r="L10" s="123"/>
    </row>
    <row r="11" spans="1:14" ht="15" customHeight="1" x14ac:dyDescent="0.2">
      <c r="A11" s="38">
        <v>30</v>
      </c>
      <c r="B11" s="53">
        <f t="shared" si="3"/>
        <v>1839.8872415400001</v>
      </c>
      <c r="C11" s="54">
        <f t="shared" si="0"/>
        <v>1431</v>
      </c>
      <c r="D11" s="53">
        <f t="shared" si="2"/>
        <v>612.13048526035789</v>
      </c>
      <c r="E11" s="38">
        <v>30</v>
      </c>
      <c r="F11" s="53">
        <f t="shared" si="4"/>
        <v>2391.8522303599998</v>
      </c>
      <c r="G11" s="59">
        <f t="shared" si="1"/>
        <v>795.76923704077183</v>
      </c>
      <c r="I11" s="238" t="s">
        <v>62</v>
      </c>
      <c r="J11" s="239"/>
      <c r="K11" s="239"/>
      <c r="L11" s="240"/>
    </row>
    <row r="12" spans="1:14" ht="15" customHeight="1" thickBot="1" x14ac:dyDescent="0.25">
      <c r="A12" s="38">
        <v>29</v>
      </c>
      <c r="B12" s="53">
        <f t="shared" si="3"/>
        <v>1778.5576668220001</v>
      </c>
      <c r="C12" s="54">
        <f t="shared" si="0"/>
        <v>1383.3000000000002</v>
      </c>
      <c r="D12" s="53">
        <f t="shared" si="2"/>
        <v>591.72613575167929</v>
      </c>
      <c r="E12" s="38">
        <v>29</v>
      </c>
      <c r="F12" s="53">
        <f t="shared" si="4"/>
        <v>2312.1238226813334</v>
      </c>
      <c r="G12" s="59">
        <f t="shared" si="1"/>
        <v>769.2435958060795</v>
      </c>
      <c r="I12" s="241"/>
      <c r="J12" s="242"/>
      <c r="K12" s="242"/>
      <c r="L12" s="243"/>
    </row>
    <row r="13" spans="1:14" ht="15" customHeight="1" thickBot="1" x14ac:dyDescent="0.25">
      <c r="A13" s="38">
        <v>28</v>
      </c>
      <c r="B13" s="53">
        <f t="shared" si="3"/>
        <v>1717.2280921040001</v>
      </c>
      <c r="C13" s="54">
        <f t="shared" si="0"/>
        <v>1335.6000000000004</v>
      </c>
      <c r="D13" s="53">
        <f t="shared" si="2"/>
        <v>571.3217862430007</v>
      </c>
      <c r="E13" s="38">
        <v>28</v>
      </c>
      <c r="F13" s="53">
        <f t="shared" si="4"/>
        <v>2232.3954150026666</v>
      </c>
      <c r="G13" s="59">
        <f t="shared" si="1"/>
        <v>742.71795457138705</v>
      </c>
      <c r="I13" s="117"/>
      <c r="J13" s="118" t="s">
        <v>55</v>
      </c>
      <c r="K13" s="133" t="s">
        <v>56</v>
      </c>
      <c r="L13" s="119" t="s">
        <v>57</v>
      </c>
    </row>
    <row r="14" spans="1:14" ht="15" customHeight="1" x14ac:dyDescent="0.2">
      <c r="A14" s="38">
        <v>27</v>
      </c>
      <c r="B14" s="53">
        <f t="shared" si="3"/>
        <v>1655.8985173860001</v>
      </c>
      <c r="C14" s="54">
        <f t="shared" si="0"/>
        <v>1287.9000000000001</v>
      </c>
      <c r="D14" s="53">
        <f t="shared" si="2"/>
        <v>550.91743673432211</v>
      </c>
      <c r="E14" s="38">
        <v>27</v>
      </c>
      <c r="F14" s="53">
        <f t="shared" si="4"/>
        <v>2152.6670073239998</v>
      </c>
      <c r="G14" s="59">
        <f t="shared" si="1"/>
        <v>716.19231333669461</v>
      </c>
      <c r="I14" s="244" t="s">
        <v>58</v>
      </c>
      <c r="J14" s="246">
        <f>IF(L8&gt;=J4,L8,J4)</f>
        <v>1847.4</v>
      </c>
      <c r="K14" s="248">
        <v>24.27</v>
      </c>
      <c r="L14" s="254">
        <f>J14*K14%</f>
        <v>448.36398000000003</v>
      </c>
    </row>
    <row r="15" spans="1:14" ht="15" customHeight="1" thickBot="1" x14ac:dyDescent="0.25">
      <c r="A15" s="38">
        <v>26</v>
      </c>
      <c r="B15" s="53">
        <f t="shared" si="3"/>
        <v>1594.5689426680001</v>
      </c>
      <c r="C15" s="54">
        <f t="shared" si="0"/>
        <v>1240.2</v>
      </c>
      <c r="D15" s="53">
        <f t="shared" si="2"/>
        <v>530.51308722564352</v>
      </c>
      <c r="E15" s="38">
        <v>26</v>
      </c>
      <c r="F15" s="53">
        <f t="shared" si="4"/>
        <v>2072.9385996453334</v>
      </c>
      <c r="G15" s="59">
        <f t="shared" si="1"/>
        <v>689.66667210200228</v>
      </c>
      <c r="I15" s="245"/>
      <c r="J15" s="247"/>
      <c r="K15" s="249"/>
      <c r="L15" s="255"/>
    </row>
    <row r="16" spans="1:14" ht="15" customHeight="1" x14ac:dyDescent="0.2">
      <c r="A16" s="38">
        <v>25</v>
      </c>
      <c r="B16" s="53">
        <f t="shared" si="3"/>
        <v>1533.2393679500001</v>
      </c>
      <c r="C16" s="54">
        <f t="shared" si="0"/>
        <v>1192.5000000000002</v>
      </c>
      <c r="D16" s="53">
        <f t="shared" si="2"/>
        <v>510.10873771696492</v>
      </c>
      <c r="E16" s="38">
        <v>25</v>
      </c>
      <c r="F16" s="53">
        <f t="shared" si="4"/>
        <v>1993.2101919666666</v>
      </c>
      <c r="G16" s="59">
        <f t="shared" si="1"/>
        <v>663.14103086730984</v>
      </c>
      <c r="I16" s="252" t="s">
        <v>59</v>
      </c>
      <c r="J16" s="246">
        <f>IF(L8&gt;=L4,L8,L4)</f>
        <v>1323</v>
      </c>
      <c r="K16" s="248">
        <v>9</v>
      </c>
      <c r="L16" s="250">
        <f>J16*K16%</f>
        <v>119.07</v>
      </c>
    </row>
    <row r="17" spans="1:14" ht="15" customHeight="1" thickBot="1" x14ac:dyDescent="0.25">
      <c r="A17" s="38">
        <v>24</v>
      </c>
      <c r="B17" s="53">
        <f t="shared" si="3"/>
        <v>1471.9097932320001</v>
      </c>
      <c r="C17" s="54">
        <f t="shared" si="0"/>
        <v>1144.8</v>
      </c>
      <c r="D17" s="53">
        <f t="shared" si="2"/>
        <v>489.70438820828633</v>
      </c>
      <c r="E17" s="38">
        <v>24</v>
      </c>
      <c r="F17" s="53">
        <f t="shared" si="4"/>
        <v>1913.481784288</v>
      </c>
      <c r="G17" s="59">
        <f t="shared" si="1"/>
        <v>636.61538963261751</v>
      </c>
      <c r="I17" s="253"/>
      <c r="J17" s="247"/>
      <c r="K17" s="249">
        <v>0.2</v>
      </c>
      <c r="L17" s="251"/>
    </row>
    <row r="18" spans="1:14" ht="15" customHeight="1" thickBot="1" x14ac:dyDescent="0.25">
      <c r="A18" s="38">
        <v>23</v>
      </c>
      <c r="B18" s="53">
        <f t="shared" si="3"/>
        <v>1410.5802185140001</v>
      </c>
      <c r="C18" s="54">
        <f t="shared" si="0"/>
        <v>1097.1000000000001</v>
      </c>
      <c r="D18" s="53">
        <f t="shared" si="2"/>
        <v>469.30003869960774</v>
      </c>
      <c r="E18" s="38">
        <v>23</v>
      </c>
      <c r="F18" s="53">
        <f t="shared" si="4"/>
        <v>1833.7533766093334</v>
      </c>
      <c r="G18" s="59">
        <f t="shared" si="1"/>
        <v>610.08974839792506</v>
      </c>
      <c r="I18" s="232" t="s">
        <v>63</v>
      </c>
      <c r="J18" s="233"/>
      <c r="K18" s="134">
        <f>(K14+K16)</f>
        <v>33.269999999999996</v>
      </c>
      <c r="L18" s="130">
        <f>SUM(L14:L17)</f>
        <v>567.43398000000002</v>
      </c>
    </row>
    <row r="19" spans="1:14" ht="15" customHeight="1" x14ac:dyDescent="0.2">
      <c r="A19" s="38">
        <v>22</v>
      </c>
      <c r="B19" s="53">
        <f t="shared" si="3"/>
        <v>1349.2506437960001</v>
      </c>
      <c r="C19" s="54">
        <f t="shared" si="0"/>
        <v>1049.4000000000001</v>
      </c>
      <c r="D19" s="53">
        <f t="shared" si="2"/>
        <v>448.89568919092915</v>
      </c>
      <c r="E19" s="38">
        <v>22</v>
      </c>
      <c r="F19" s="53">
        <f t="shared" si="4"/>
        <v>1754.0249689306663</v>
      </c>
      <c r="G19" s="59">
        <f t="shared" si="1"/>
        <v>583.56410716323262</v>
      </c>
      <c r="I19" s="126"/>
      <c r="J19" s="127"/>
      <c r="K19" s="128"/>
      <c r="L19" s="129"/>
    </row>
    <row r="20" spans="1:14" ht="15" customHeight="1" x14ac:dyDescent="0.2">
      <c r="A20" s="38">
        <v>21</v>
      </c>
      <c r="B20" s="53">
        <f t="shared" si="3"/>
        <v>1287.9210690780001</v>
      </c>
      <c r="C20" s="54">
        <f t="shared" si="0"/>
        <v>1001.7</v>
      </c>
      <c r="D20" s="53">
        <f t="shared" si="2"/>
        <v>428.49133968225055</v>
      </c>
      <c r="E20" s="38">
        <v>21</v>
      </c>
      <c r="F20" s="53">
        <f t="shared" si="4"/>
        <v>1674.2965612519999</v>
      </c>
      <c r="G20" s="59">
        <f t="shared" si="1"/>
        <v>557.03846592854029</v>
      </c>
      <c r="I20" s="277" t="s">
        <v>77</v>
      </c>
      <c r="J20" s="277"/>
      <c r="K20" s="277"/>
      <c r="L20" s="277"/>
      <c r="M20" s="277"/>
      <c r="N20" s="277"/>
    </row>
    <row r="21" spans="1:14" ht="15" customHeight="1" x14ac:dyDescent="0.2">
      <c r="A21" s="38">
        <v>20</v>
      </c>
      <c r="B21" s="53">
        <f t="shared" si="3"/>
        <v>1226.5914943600001</v>
      </c>
      <c r="C21" s="54">
        <f t="shared" si="0"/>
        <v>954.00000000000011</v>
      </c>
      <c r="D21" s="53">
        <f t="shared" si="2"/>
        <v>408.08699017357196</v>
      </c>
      <c r="E21" s="38">
        <v>20</v>
      </c>
      <c r="F21" s="53">
        <f t="shared" si="4"/>
        <v>1594.5681535733331</v>
      </c>
      <c r="G21" s="59">
        <f t="shared" si="1"/>
        <v>530.51282469384785</v>
      </c>
      <c r="I21" s="277"/>
      <c r="J21" s="277"/>
      <c r="K21" s="277"/>
      <c r="L21" s="277"/>
      <c r="M21" s="277"/>
      <c r="N21" s="277"/>
    </row>
    <row r="22" spans="1:14" ht="15" customHeight="1" thickBot="1" x14ac:dyDescent="0.25">
      <c r="A22" s="38">
        <v>19</v>
      </c>
      <c r="B22" s="53">
        <f t="shared" si="3"/>
        <v>1165.2619196420001</v>
      </c>
      <c r="C22" s="54">
        <f t="shared" si="0"/>
        <v>906.30000000000007</v>
      </c>
      <c r="D22" s="53">
        <f t="shared" si="2"/>
        <v>387.68264066489337</v>
      </c>
      <c r="E22" s="38">
        <v>19</v>
      </c>
      <c r="F22" s="53">
        <f t="shared" si="4"/>
        <v>1514.8397458946665</v>
      </c>
      <c r="G22" s="59">
        <f t="shared" si="1"/>
        <v>503.98718345915546</v>
      </c>
      <c r="I22" s="35"/>
      <c r="J22" s="19"/>
      <c r="L22" s="115"/>
    </row>
    <row r="23" spans="1:14" ht="15" customHeight="1" x14ac:dyDescent="0.2">
      <c r="A23" s="38">
        <v>18</v>
      </c>
      <c r="B23" s="53">
        <f t="shared" si="3"/>
        <v>1103.9323449240001</v>
      </c>
      <c r="C23" s="54">
        <f t="shared" si="0"/>
        <v>858.60000000000014</v>
      </c>
      <c r="D23" s="53">
        <f t="shared" si="2"/>
        <v>367.27829115621478</v>
      </c>
      <c r="E23" s="38">
        <v>18</v>
      </c>
      <c r="F23" s="53">
        <f t="shared" si="4"/>
        <v>1435.1113382159999</v>
      </c>
      <c r="G23" s="59">
        <f t="shared" si="1"/>
        <v>477.46154222446307</v>
      </c>
      <c r="I23" s="236" t="s">
        <v>64</v>
      </c>
      <c r="J23" s="236"/>
      <c r="K23" s="237"/>
      <c r="L23" s="256">
        <v>0</v>
      </c>
    </row>
    <row r="24" spans="1:14" ht="15" customHeight="1" thickBot="1" x14ac:dyDescent="0.25">
      <c r="A24" s="38">
        <v>17</v>
      </c>
      <c r="B24" s="53">
        <f t="shared" si="3"/>
        <v>1042.6027702060001</v>
      </c>
      <c r="C24" s="54">
        <f t="shared" si="0"/>
        <v>810.9</v>
      </c>
      <c r="D24" s="53">
        <f t="shared" si="2"/>
        <v>346.87394164753618</v>
      </c>
      <c r="E24" s="38">
        <v>17</v>
      </c>
      <c r="F24" s="53">
        <f t="shared" si="4"/>
        <v>1355.3829305373331</v>
      </c>
      <c r="G24" s="59">
        <f t="shared" si="1"/>
        <v>450.93590098977063</v>
      </c>
      <c r="I24" s="236"/>
      <c r="J24" s="236"/>
      <c r="K24" s="237"/>
      <c r="L24" s="257"/>
    </row>
    <row r="25" spans="1:14" ht="15" customHeight="1" thickBot="1" x14ac:dyDescent="0.25">
      <c r="A25" s="38">
        <v>16</v>
      </c>
      <c r="B25" s="53">
        <f t="shared" si="3"/>
        <v>981.27319548800006</v>
      </c>
      <c r="C25" s="54">
        <f t="shared" si="0"/>
        <v>763.2</v>
      </c>
      <c r="D25" s="53">
        <f t="shared" si="2"/>
        <v>326.46959213885754</v>
      </c>
      <c r="E25" s="38">
        <v>16</v>
      </c>
      <c r="F25" s="53">
        <f t="shared" si="4"/>
        <v>1275.6545228586665</v>
      </c>
      <c r="G25" s="59">
        <f t="shared" si="1"/>
        <v>424.41025975507824</v>
      </c>
      <c r="I25" s="35"/>
      <c r="J25" s="19"/>
      <c r="L25" s="115"/>
    </row>
    <row r="26" spans="1:14" ht="15" customHeight="1" x14ac:dyDescent="0.2">
      <c r="A26" s="38">
        <v>15</v>
      </c>
      <c r="B26" s="53">
        <f t="shared" si="3"/>
        <v>919.94362077000005</v>
      </c>
      <c r="C26" s="54">
        <f t="shared" si="0"/>
        <v>715.5</v>
      </c>
      <c r="D26" s="53">
        <f t="shared" si="2"/>
        <v>306.06524263017894</v>
      </c>
      <c r="E26" s="38">
        <v>15</v>
      </c>
      <c r="F26" s="53">
        <f t="shared" si="4"/>
        <v>1195.9261151799999</v>
      </c>
      <c r="G26" s="59">
        <f t="shared" si="1"/>
        <v>397.88461852038591</v>
      </c>
      <c r="I26" s="236" t="s">
        <v>68</v>
      </c>
      <c r="J26" s="236"/>
      <c r="K26" s="237"/>
      <c r="L26" s="234">
        <v>0</v>
      </c>
    </row>
    <row r="27" spans="1:14" ht="15" customHeight="1" thickBot="1" x14ac:dyDescent="0.25">
      <c r="A27" s="38">
        <v>14</v>
      </c>
      <c r="B27" s="53">
        <f t="shared" si="3"/>
        <v>858.61404605200005</v>
      </c>
      <c r="C27" s="54">
        <f t="shared" si="0"/>
        <v>667.80000000000018</v>
      </c>
      <c r="D27" s="53">
        <f t="shared" si="2"/>
        <v>285.66089312150035</v>
      </c>
      <c r="E27" s="38">
        <v>14</v>
      </c>
      <c r="F27" s="53">
        <f t="shared" si="4"/>
        <v>1116.1977075013333</v>
      </c>
      <c r="G27" s="59">
        <f t="shared" si="1"/>
        <v>371.35897728569353</v>
      </c>
      <c r="I27" s="236"/>
      <c r="J27" s="236"/>
      <c r="K27" s="237"/>
      <c r="L27" s="235"/>
    </row>
    <row r="28" spans="1:14" ht="15" customHeight="1" thickBot="1" x14ac:dyDescent="0.25">
      <c r="A28" s="38">
        <v>13</v>
      </c>
      <c r="B28" s="53">
        <f t="shared" si="3"/>
        <v>797.28447133400005</v>
      </c>
      <c r="C28" s="54">
        <f t="shared" si="0"/>
        <v>620.1</v>
      </c>
      <c r="D28" s="53">
        <f t="shared" si="2"/>
        <v>265.25654361282176</v>
      </c>
      <c r="E28" s="38">
        <v>13</v>
      </c>
      <c r="F28" s="53">
        <f t="shared" si="4"/>
        <v>1036.4692998226667</v>
      </c>
      <c r="G28" s="59">
        <f t="shared" si="1"/>
        <v>344.83333605100114</v>
      </c>
      <c r="I28" s="35"/>
      <c r="J28" s="19"/>
      <c r="L28" s="115"/>
    </row>
    <row r="29" spans="1:14" ht="15" customHeight="1" x14ac:dyDescent="0.2">
      <c r="A29" s="38">
        <v>12</v>
      </c>
      <c r="B29" s="53">
        <f t="shared" si="3"/>
        <v>735.95489661600004</v>
      </c>
      <c r="C29" s="54">
        <f t="shared" si="0"/>
        <v>572.4</v>
      </c>
      <c r="D29" s="53">
        <f t="shared" si="2"/>
        <v>244.85219410414317</v>
      </c>
      <c r="E29" s="38">
        <v>12</v>
      </c>
      <c r="F29" s="53">
        <f t="shared" si="4"/>
        <v>956.74089214399999</v>
      </c>
      <c r="G29" s="59">
        <f t="shared" si="1"/>
        <v>318.30769481630875</v>
      </c>
      <c r="I29" s="238" t="s">
        <v>65</v>
      </c>
      <c r="J29" s="239"/>
      <c r="K29" s="239"/>
      <c r="L29" s="240"/>
    </row>
    <row r="30" spans="1:14" ht="15" customHeight="1" thickBot="1" x14ac:dyDescent="0.25">
      <c r="A30" s="38">
        <v>11</v>
      </c>
      <c r="B30" s="53">
        <f t="shared" si="3"/>
        <v>674.62532189800004</v>
      </c>
      <c r="C30" s="54">
        <f t="shared" si="0"/>
        <v>524.70000000000005</v>
      </c>
      <c r="D30" s="53">
        <f t="shared" si="2"/>
        <v>224.44784459546457</v>
      </c>
      <c r="E30" s="38">
        <v>11</v>
      </c>
      <c r="F30" s="53">
        <f t="shared" si="4"/>
        <v>877.01248446533316</v>
      </c>
      <c r="G30" s="59">
        <f t="shared" si="1"/>
        <v>291.78205358161631</v>
      </c>
      <c r="I30" s="241"/>
      <c r="J30" s="242"/>
      <c r="K30" s="242"/>
      <c r="L30" s="243"/>
    </row>
    <row r="31" spans="1:14" ht="15" customHeight="1" thickBot="1" x14ac:dyDescent="0.25">
      <c r="A31" s="38">
        <v>10</v>
      </c>
      <c r="B31" s="53">
        <f t="shared" si="3"/>
        <v>613.29574718000003</v>
      </c>
      <c r="C31" s="54">
        <f t="shared" si="0"/>
        <v>477.00000000000006</v>
      </c>
      <c r="D31" s="53">
        <f t="shared" si="2"/>
        <v>204.04349508678598</v>
      </c>
      <c r="E31" s="38">
        <v>10</v>
      </c>
      <c r="F31" s="53">
        <f t="shared" si="4"/>
        <v>797.28407678666656</v>
      </c>
      <c r="G31" s="59">
        <f t="shared" si="1"/>
        <v>265.25641234692392</v>
      </c>
      <c r="I31" s="137" t="s">
        <v>69</v>
      </c>
      <c r="J31" s="135" t="s">
        <v>55</v>
      </c>
      <c r="K31" s="133" t="s">
        <v>70</v>
      </c>
      <c r="L31" s="119" t="s">
        <v>57</v>
      </c>
    </row>
    <row r="32" spans="1:14" ht="15" customHeight="1" x14ac:dyDescent="0.2">
      <c r="A32" s="38">
        <v>9</v>
      </c>
      <c r="B32" s="53">
        <f t="shared" si="3"/>
        <v>551.96617246200003</v>
      </c>
      <c r="C32" s="54">
        <f t="shared" si="0"/>
        <v>429.30000000000007</v>
      </c>
      <c r="D32" s="53">
        <f t="shared" si="2"/>
        <v>183.63914557810739</v>
      </c>
      <c r="E32" s="38">
        <v>9</v>
      </c>
      <c r="F32" s="53">
        <f t="shared" si="4"/>
        <v>717.55566910799996</v>
      </c>
      <c r="G32" s="59">
        <f t="shared" si="1"/>
        <v>238.73077111223154</v>
      </c>
      <c r="I32" s="263">
        <f>((L23/37.5*7.5*5)/7)*30*$C$46</f>
        <v>0</v>
      </c>
      <c r="J32" s="265">
        <f>IF(L26&lt;I32,I32,L26)</f>
        <v>0</v>
      </c>
      <c r="K32" s="267">
        <v>33.270000000000003</v>
      </c>
      <c r="L32" s="250">
        <f>J32*K32%</f>
        <v>0</v>
      </c>
    </row>
    <row r="33" spans="1:14" ht="15" customHeight="1" thickBot="1" x14ac:dyDescent="0.25">
      <c r="A33" s="38">
        <v>8</v>
      </c>
      <c r="B33" s="53">
        <f t="shared" si="3"/>
        <v>490.63659774400003</v>
      </c>
      <c r="C33" s="54">
        <f t="shared" si="0"/>
        <v>381.6</v>
      </c>
      <c r="D33" s="53">
        <f t="shared" si="2"/>
        <v>163.23479606942877</v>
      </c>
      <c r="E33" s="38">
        <v>8</v>
      </c>
      <c r="F33" s="53">
        <f t="shared" si="4"/>
        <v>637.82726142933325</v>
      </c>
      <c r="G33" s="59">
        <f t="shared" si="1"/>
        <v>212.20512987753912</v>
      </c>
      <c r="I33" s="264"/>
      <c r="J33" s="266"/>
      <c r="K33" s="268"/>
      <c r="L33" s="269"/>
    </row>
    <row r="34" spans="1:14" ht="15" customHeight="1" thickBot="1" x14ac:dyDescent="0.25">
      <c r="A34" s="38">
        <v>7</v>
      </c>
      <c r="B34" s="53">
        <f t="shared" si="3"/>
        <v>429.30702302600002</v>
      </c>
      <c r="C34" s="54">
        <f t="shared" si="0"/>
        <v>333.90000000000009</v>
      </c>
      <c r="D34" s="53">
        <f t="shared" si="2"/>
        <v>142.83044656075018</v>
      </c>
      <c r="E34" s="38">
        <v>7</v>
      </c>
      <c r="F34" s="53">
        <f t="shared" si="4"/>
        <v>558.09885375066665</v>
      </c>
      <c r="G34" s="59">
        <f t="shared" si="1"/>
        <v>185.67948864284676</v>
      </c>
      <c r="I34" s="258" t="s">
        <v>66</v>
      </c>
      <c r="J34" s="259"/>
      <c r="K34" s="260"/>
      <c r="L34" s="130">
        <f>SUM(L32)</f>
        <v>0</v>
      </c>
    </row>
    <row r="35" spans="1:14" ht="15" customHeight="1" x14ac:dyDescent="0.2">
      <c r="A35" s="38">
        <v>6</v>
      </c>
      <c r="B35" s="53">
        <f t="shared" si="3"/>
        <v>367.97744830800002</v>
      </c>
      <c r="C35" s="54">
        <f t="shared" si="0"/>
        <v>286.2</v>
      </c>
      <c r="D35" s="53">
        <f t="shared" si="2"/>
        <v>122.42609705207158</v>
      </c>
      <c r="E35" s="38">
        <v>6</v>
      </c>
      <c r="F35" s="53">
        <f t="shared" si="4"/>
        <v>478.37044607199999</v>
      </c>
      <c r="G35" s="59">
        <f t="shared" si="1"/>
        <v>159.15384740815438</v>
      </c>
      <c r="I35" s="35"/>
      <c r="J35" s="19"/>
      <c r="L35" s="115"/>
      <c r="N35" s="136"/>
    </row>
    <row r="36" spans="1:14" ht="15" customHeight="1" x14ac:dyDescent="0.2">
      <c r="A36" s="38">
        <v>5</v>
      </c>
      <c r="B36" s="53">
        <f t="shared" si="3"/>
        <v>306.64787359000002</v>
      </c>
      <c r="C36" s="54">
        <f t="shared" si="0"/>
        <v>238.50000000000003</v>
      </c>
      <c r="D36" s="53">
        <f t="shared" si="2"/>
        <v>102.02174754339299</v>
      </c>
      <c r="E36" s="38">
        <v>5</v>
      </c>
      <c r="F36" s="53">
        <f t="shared" si="4"/>
        <v>398.64203839333328</v>
      </c>
      <c r="G36" s="59">
        <f t="shared" si="1"/>
        <v>132.62820617346196</v>
      </c>
      <c r="I36" s="261" t="s">
        <v>67</v>
      </c>
      <c r="J36" s="261"/>
      <c r="K36" s="261"/>
      <c r="L36" s="261"/>
      <c r="M36" s="262" t="s">
        <v>101</v>
      </c>
      <c r="N36" s="136"/>
    </row>
    <row r="37" spans="1:14" ht="15" customHeight="1" x14ac:dyDescent="0.2">
      <c r="A37" s="38">
        <v>4</v>
      </c>
      <c r="B37" s="53">
        <f t="shared" si="3"/>
        <v>245.31829887200001</v>
      </c>
      <c r="C37" s="54">
        <f t="shared" si="0"/>
        <v>190.8</v>
      </c>
      <c r="D37" s="53">
        <f t="shared" si="2"/>
        <v>81.617398034714384</v>
      </c>
      <c r="E37" s="38">
        <v>4</v>
      </c>
      <c r="F37" s="53">
        <f t="shared" si="4"/>
        <v>318.91363071466662</v>
      </c>
      <c r="G37" s="59">
        <f t="shared" si="1"/>
        <v>106.10256493876956</v>
      </c>
      <c r="I37" s="261"/>
      <c r="J37" s="261"/>
      <c r="K37" s="261"/>
      <c r="L37" s="261"/>
      <c r="M37" s="262"/>
      <c r="N37" s="136"/>
    </row>
    <row r="38" spans="1:14" ht="15" customHeight="1" x14ac:dyDescent="0.2">
      <c r="A38" s="38">
        <v>3</v>
      </c>
      <c r="B38" s="53">
        <f t="shared" si="3"/>
        <v>183.98872415400001</v>
      </c>
      <c r="C38" s="54">
        <f t="shared" si="0"/>
        <v>143.1</v>
      </c>
      <c r="D38" s="53">
        <f t="shared" si="2"/>
        <v>61.213048526035791</v>
      </c>
      <c r="E38" s="38">
        <v>3</v>
      </c>
      <c r="F38" s="53">
        <f t="shared" si="4"/>
        <v>239.185223036</v>
      </c>
      <c r="G38" s="59">
        <f t="shared" si="1"/>
        <v>79.576923704077188</v>
      </c>
      <c r="I38" s="8"/>
    </row>
    <row r="39" spans="1:14" ht="15" customHeight="1" x14ac:dyDescent="0.2">
      <c r="A39" s="38">
        <v>2</v>
      </c>
      <c r="B39" s="53">
        <f t="shared" si="3"/>
        <v>122.65914943600001</v>
      </c>
      <c r="C39" s="54">
        <f t="shared" si="0"/>
        <v>95.4</v>
      </c>
      <c r="D39" s="53">
        <f t="shared" si="2"/>
        <v>40.808699017357192</v>
      </c>
      <c r="E39" s="38">
        <v>2</v>
      </c>
      <c r="F39" s="53">
        <f t="shared" si="4"/>
        <v>159.45681535733331</v>
      </c>
      <c r="G39" s="59">
        <f t="shared" si="1"/>
        <v>53.05128246938478</v>
      </c>
      <c r="I39" s="8"/>
    </row>
    <row r="40" spans="1:14" ht="15" customHeight="1" x14ac:dyDescent="0.2">
      <c r="A40" s="39">
        <v>1</v>
      </c>
      <c r="B40" s="55">
        <f t="shared" si="3"/>
        <v>61.329574718000003</v>
      </c>
      <c r="C40" s="56">
        <f t="shared" si="0"/>
        <v>47.7</v>
      </c>
      <c r="D40" s="55">
        <f t="shared" si="2"/>
        <v>20.404349508678596</v>
      </c>
      <c r="E40" s="39">
        <v>1</v>
      </c>
      <c r="F40" s="55">
        <f t="shared" si="4"/>
        <v>79.728407678666656</v>
      </c>
      <c r="G40" s="55">
        <f t="shared" si="1"/>
        <v>26.52564123469239</v>
      </c>
      <c r="I40" s="8"/>
    </row>
    <row r="41" spans="1:14" hidden="1" x14ac:dyDescent="0.2">
      <c r="C41" s="211" t="s">
        <v>93</v>
      </c>
      <c r="D41" s="201"/>
    </row>
    <row r="42" spans="1:14" hidden="1" x14ac:dyDescent="0.2">
      <c r="C42" s="214"/>
      <c r="D42" s="201"/>
    </row>
    <row r="43" spans="1:14" hidden="1" x14ac:dyDescent="0.2">
      <c r="C43" s="214"/>
      <c r="D43" s="201"/>
    </row>
    <row r="44" spans="1:14" hidden="1" x14ac:dyDescent="0.2">
      <c r="C44" s="214"/>
      <c r="D44" s="201"/>
    </row>
    <row r="45" spans="1:14" ht="13.5" hidden="1" thickBot="1" x14ac:dyDescent="0.25"/>
    <row r="46" spans="1:14" ht="42" hidden="1" customHeight="1" thickBot="1" x14ac:dyDescent="0.25">
      <c r="B46" s="202" t="s">
        <v>14</v>
      </c>
      <c r="C46" s="203">
        <v>11.13</v>
      </c>
      <c r="E46" s="17"/>
    </row>
    <row r="47" spans="1:14" hidden="1" x14ac:dyDescent="0.2"/>
    <row r="48" spans="1:14" hidden="1" x14ac:dyDescent="0.2"/>
    <row r="49" hidden="1" x14ac:dyDescent="0.2"/>
    <row r="50" hidden="1" x14ac:dyDescent="0.2"/>
    <row r="51" hidden="1" x14ac:dyDescent="0.2"/>
  </sheetData>
  <sheetProtection algorithmName="SHA-512" hashValue="CDlORNJu06Ye1FHCUIY3j1g7YBaJhFeQCFobM1E47/M5c5lSmM0bphi2LupyvFU6QjkYNxRow5m5v3ogrC4nZQ==" saltValue="ONbsCwIeit56v4zWVkLXcw==" spinCount="100000" sheet="1" objects="1" scenarios="1"/>
  <protectedRanges>
    <protectedRange sqref="M36" name="CALCULO RC"/>
    <protectedRange sqref="L8 L26" name="RET TC_1"/>
    <protectedRange sqref="L23" name="DED_1"/>
  </protectedRanges>
  <mergeCells count="35">
    <mergeCell ref="I34:K34"/>
    <mergeCell ref="I36:L37"/>
    <mergeCell ref="M36:M37"/>
    <mergeCell ref="I29:L30"/>
    <mergeCell ref="I32:I33"/>
    <mergeCell ref="J32:J33"/>
    <mergeCell ref="K32:K33"/>
    <mergeCell ref="L32:L33"/>
    <mergeCell ref="I20:N21"/>
    <mergeCell ref="I23:K24"/>
    <mergeCell ref="L23:L24"/>
    <mergeCell ref="I26:K27"/>
    <mergeCell ref="L26:L27"/>
    <mergeCell ref="I16:I17"/>
    <mergeCell ref="J16:J17"/>
    <mergeCell ref="K16:K17"/>
    <mergeCell ref="L16:L17"/>
    <mergeCell ref="I18:J18"/>
    <mergeCell ref="I8:K9"/>
    <mergeCell ref="L8:L9"/>
    <mergeCell ref="I11:L12"/>
    <mergeCell ref="I14:I15"/>
    <mergeCell ref="J14:J15"/>
    <mergeCell ref="K14:K15"/>
    <mergeCell ref="L14:L15"/>
    <mergeCell ref="I4:I5"/>
    <mergeCell ref="J4:J5"/>
    <mergeCell ref="K4:K5"/>
    <mergeCell ref="L4:L5"/>
    <mergeCell ref="M4:M5"/>
    <mergeCell ref="B2:D2"/>
    <mergeCell ref="F2:G2"/>
    <mergeCell ref="A1:G1"/>
    <mergeCell ref="I2:K2"/>
    <mergeCell ref="L2:M2"/>
  </mergeCells>
  <hyperlinks>
    <hyperlink ref="M36:M37" r:id="rId1" display="CALCULO RC" xr:uid="{00000000-0004-0000-0100-000000000000}"/>
  </hyperlinks>
  <pageMargins left="0.94488188976377963" right="0.86614173228346458" top="0" bottom="0.39370078740157483" header="0" footer="0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9"/>
  <sheetViews>
    <sheetView zoomScale="71" zoomScaleNormal="71" workbookViewId="0">
      <selection activeCell="B4" sqref="B4"/>
    </sheetView>
  </sheetViews>
  <sheetFormatPr baseColWidth="10" defaultColWidth="11.5703125" defaultRowHeight="14.25" x14ac:dyDescent="0.2"/>
  <cols>
    <col min="1" max="1" width="32" style="168" customWidth="1"/>
    <col min="2" max="2" width="20.140625" style="70" customWidth="1"/>
    <col min="3" max="3" width="23.7109375" style="70" customWidth="1"/>
    <col min="4" max="4" width="24.7109375" style="70" customWidth="1"/>
    <col min="5" max="5" width="5.7109375" style="5" customWidth="1"/>
    <col min="6" max="6" width="26.5703125" style="7" customWidth="1"/>
    <col min="7" max="7" width="15.42578125" style="5" customWidth="1"/>
    <col min="8" max="8" width="19" style="5" bestFit="1" customWidth="1"/>
    <col min="9" max="9" width="17.85546875" style="5" customWidth="1"/>
    <col min="10" max="10" width="18.28515625" style="5" customWidth="1"/>
    <col min="11" max="11" width="4.28515625" style="5" customWidth="1"/>
    <col min="12" max="12" width="26.28515625" style="5" customWidth="1"/>
    <col min="13" max="13" width="19.7109375" style="5" customWidth="1"/>
    <col min="14" max="14" width="18.7109375" style="5" customWidth="1"/>
    <col min="15" max="15" width="15.42578125" style="5" bestFit="1" customWidth="1"/>
    <col min="16" max="16384" width="11.5703125" style="5"/>
  </cols>
  <sheetData>
    <row r="1" spans="1:15" s="8" customFormat="1" ht="55.5" customHeight="1" thickBot="1" x14ac:dyDescent="0.25">
      <c r="A1" s="299" t="s">
        <v>96</v>
      </c>
      <c r="B1" s="300"/>
      <c r="C1" s="300"/>
      <c r="D1" s="301"/>
      <c r="F1" s="158" t="s">
        <v>82</v>
      </c>
      <c r="G1" s="288" t="s">
        <v>50</v>
      </c>
      <c r="H1" s="289"/>
      <c r="I1" s="288" t="s">
        <v>54</v>
      </c>
      <c r="J1" s="289"/>
    </row>
    <row r="2" spans="1:15" s="36" customFormat="1" ht="34.5" customHeight="1" x14ac:dyDescent="0.2">
      <c r="A2" s="164" t="s">
        <v>81</v>
      </c>
      <c r="B2" s="297" t="s">
        <v>47</v>
      </c>
      <c r="C2" s="298"/>
      <c r="D2" s="298"/>
      <c r="E2" s="174"/>
      <c r="F2" s="124" t="s">
        <v>83</v>
      </c>
      <c r="G2" s="124" t="s">
        <v>60</v>
      </c>
      <c r="H2" s="124" t="s">
        <v>61</v>
      </c>
      <c r="I2" s="125" t="s">
        <v>52</v>
      </c>
      <c r="J2" s="124" t="s">
        <v>53</v>
      </c>
    </row>
    <row r="3" spans="1:15" s="27" customFormat="1" ht="35.65" customHeight="1" x14ac:dyDescent="0.2">
      <c r="A3" s="139"/>
      <c r="B3" s="65" t="s">
        <v>92</v>
      </c>
      <c r="C3" s="140" t="s">
        <v>79</v>
      </c>
      <c r="D3" s="140" t="s">
        <v>85</v>
      </c>
      <c r="F3" s="141">
        <v>9.82</v>
      </c>
      <c r="G3" s="204">
        <v>1759.5</v>
      </c>
      <c r="H3" s="204">
        <v>4495.5</v>
      </c>
      <c r="I3" s="205">
        <v>1260</v>
      </c>
      <c r="J3" s="205">
        <v>4495.5</v>
      </c>
    </row>
    <row r="4" spans="1:15" s="21" customFormat="1" ht="30.75" customHeight="1" thickBot="1" x14ac:dyDescent="0.25">
      <c r="A4" s="165" t="s">
        <v>80</v>
      </c>
      <c r="B4" s="148">
        <v>31674.720000000001</v>
      </c>
      <c r="C4" s="177">
        <f>B4/12</f>
        <v>2639.56</v>
      </c>
      <c r="D4" s="178">
        <f>B4/14</f>
        <v>2262.48</v>
      </c>
      <c r="F4" s="153"/>
      <c r="G4" s="154"/>
      <c r="H4" s="154"/>
      <c r="I4" s="155"/>
      <c r="J4" s="155"/>
    </row>
    <row r="5" spans="1:15" s="8" customFormat="1" ht="24" customHeight="1" thickBot="1" x14ac:dyDescent="0.25">
      <c r="A5" s="166" t="s">
        <v>71</v>
      </c>
      <c r="B5" s="149">
        <f>B4*56%</f>
        <v>17737.843200000003</v>
      </c>
      <c r="C5" s="149">
        <f>B5/12</f>
        <v>1478.1536000000003</v>
      </c>
      <c r="D5" s="150">
        <f>B5/14</f>
        <v>1266.9888000000003</v>
      </c>
      <c r="F5" s="279" t="s">
        <v>94</v>
      </c>
      <c r="G5" s="279"/>
      <c r="H5" s="279"/>
      <c r="I5" s="210">
        <v>0</v>
      </c>
      <c r="L5" s="279" t="s">
        <v>94</v>
      </c>
      <c r="M5" s="279"/>
      <c r="N5" s="279"/>
      <c r="O5" s="210">
        <v>0</v>
      </c>
    </row>
    <row r="6" spans="1:15" s="8" customFormat="1" ht="24" customHeight="1" x14ac:dyDescent="0.2">
      <c r="A6" s="166" t="s">
        <v>72</v>
      </c>
      <c r="B6" s="149">
        <f>B4*56%</f>
        <v>17737.843200000003</v>
      </c>
      <c r="C6" s="179">
        <f>B6/12</f>
        <v>1478.1536000000003</v>
      </c>
      <c r="D6" s="175">
        <f t="shared" ref="D6:D10" si="0">B6/14</f>
        <v>1266.9888000000003</v>
      </c>
      <c r="F6" s="290" t="s">
        <v>103</v>
      </c>
      <c r="G6" s="291"/>
      <c r="H6" s="291"/>
      <c r="I6" s="292"/>
      <c r="J6" s="157"/>
      <c r="L6" s="290" t="s">
        <v>104</v>
      </c>
      <c r="M6" s="291"/>
      <c r="N6" s="291"/>
      <c r="O6" s="292"/>
    </row>
    <row r="7" spans="1:15" s="8" customFormat="1" ht="24" customHeight="1" thickBot="1" x14ac:dyDescent="0.25">
      <c r="A7" s="166" t="s">
        <v>73</v>
      </c>
      <c r="B7" s="149">
        <f>B4*60%</f>
        <v>19004.831999999999</v>
      </c>
      <c r="C7" s="179">
        <f>B7/12</f>
        <v>1583.7359999999999</v>
      </c>
      <c r="D7" s="175">
        <f t="shared" si="0"/>
        <v>1357.4879999999998</v>
      </c>
      <c r="F7" s="293"/>
      <c r="G7" s="294"/>
      <c r="H7" s="294"/>
      <c r="I7" s="295"/>
      <c r="J7" s="157"/>
      <c r="L7" s="293"/>
      <c r="M7" s="294"/>
      <c r="N7" s="294"/>
      <c r="O7" s="295"/>
    </row>
    <row r="8" spans="1:15" s="8" customFormat="1" ht="24" customHeight="1" thickBot="1" x14ac:dyDescent="0.25">
      <c r="A8" s="166" t="s">
        <v>74</v>
      </c>
      <c r="B8" s="149">
        <f>B4*75%</f>
        <v>23756.04</v>
      </c>
      <c r="C8" s="149">
        <f>B8/12</f>
        <v>1979.67</v>
      </c>
      <c r="D8" s="150">
        <f t="shared" si="0"/>
        <v>1696.8600000000001</v>
      </c>
      <c r="F8" s="117"/>
      <c r="G8" s="135" t="s">
        <v>55</v>
      </c>
      <c r="H8" s="159" t="s">
        <v>56</v>
      </c>
      <c r="I8" s="142" t="s">
        <v>57</v>
      </c>
      <c r="J8" s="215" t="s">
        <v>99</v>
      </c>
      <c r="L8" s="117"/>
      <c r="M8" s="135" t="s">
        <v>55</v>
      </c>
      <c r="N8" s="159" t="s">
        <v>56</v>
      </c>
      <c r="O8" s="142" t="s">
        <v>57</v>
      </c>
    </row>
    <row r="9" spans="1:15" s="8" customFormat="1" ht="15" customHeight="1" x14ac:dyDescent="0.2">
      <c r="A9" s="166"/>
      <c r="B9" s="149"/>
      <c r="C9" s="149"/>
      <c r="D9" s="150"/>
      <c r="F9" s="286" t="s">
        <v>58</v>
      </c>
      <c r="G9" s="246">
        <f>IF($I$5&gt;=$G$3,$I$5,$G$3)</f>
        <v>1759.5</v>
      </c>
      <c r="H9" s="267">
        <v>24.18</v>
      </c>
      <c r="I9" s="246">
        <f>(G9*H9%)</f>
        <v>425.44709999999998</v>
      </c>
      <c r="J9" s="246">
        <f>I9-115</f>
        <v>310.44709999999998</v>
      </c>
      <c r="L9" s="286" t="s">
        <v>58</v>
      </c>
      <c r="M9" s="246">
        <f>IF($O$5&gt;=$G$3,$O$5,$G$3)</f>
        <v>1759.5</v>
      </c>
      <c r="N9" s="267">
        <v>17.100000000000001</v>
      </c>
      <c r="O9" s="246">
        <f>M9*N9%</f>
        <v>300.87450000000001</v>
      </c>
    </row>
    <row r="10" spans="1:15" s="8" customFormat="1" ht="15" customHeight="1" thickBot="1" x14ac:dyDescent="0.25">
      <c r="A10" s="167" t="s">
        <v>75</v>
      </c>
      <c r="B10" s="151">
        <f>(SUM(B5:B8))/4</f>
        <v>19559.139600000002</v>
      </c>
      <c r="C10" s="180">
        <f>(SUM(C5:C8))/4</f>
        <v>1629.9283</v>
      </c>
      <c r="D10" s="176">
        <f t="shared" si="0"/>
        <v>1397.0814000000003</v>
      </c>
      <c r="F10" s="287"/>
      <c r="G10" s="247"/>
      <c r="H10" s="268"/>
      <c r="I10" s="247"/>
      <c r="J10" s="247"/>
      <c r="L10" s="287"/>
      <c r="M10" s="247"/>
      <c r="N10" s="268"/>
      <c r="O10" s="247"/>
    </row>
    <row r="11" spans="1:15" ht="14.25" customHeight="1" x14ac:dyDescent="0.2">
      <c r="F11" s="286" t="s">
        <v>59</v>
      </c>
      <c r="G11" s="246">
        <f>IF($I$5&gt;=$I$3,$I$5,$I$3)</f>
        <v>1260</v>
      </c>
      <c r="H11" s="267">
        <v>9</v>
      </c>
      <c r="I11" s="246">
        <f>G11*H11%</f>
        <v>113.39999999999999</v>
      </c>
      <c r="J11" s="246">
        <f>I11</f>
        <v>113.39999999999999</v>
      </c>
      <c r="L11" s="286" t="s">
        <v>59</v>
      </c>
      <c r="M11" s="246">
        <f>IF($O$5&gt;=$I$3,$O$5,$I$3)</f>
        <v>1260</v>
      </c>
      <c r="N11" s="267">
        <v>9</v>
      </c>
      <c r="O11" s="246">
        <f>M11*N11%</f>
        <v>113.39999999999999</v>
      </c>
    </row>
    <row r="12" spans="1:15" ht="15" thickBot="1" x14ac:dyDescent="0.25">
      <c r="F12" s="287"/>
      <c r="G12" s="247"/>
      <c r="H12" s="268"/>
      <c r="I12" s="247"/>
      <c r="J12" s="247"/>
      <c r="L12" s="287"/>
      <c r="M12" s="247"/>
      <c r="N12" s="268"/>
      <c r="O12" s="247"/>
    </row>
    <row r="13" spans="1:15" ht="24" customHeight="1" thickBot="1" x14ac:dyDescent="0.25">
      <c r="A13" s="261" t="s">
        <v>102</v>
      </c>
      <c r="B13" s="261"/>
      <c r="C13" s="261"/>
      <c r="D13" s="261"/>
      <c r="F13" s="232" t="s">
        <v>84</v>
      </c>
      <c r="G13" s="233"/>
      <c r="H13" s="161">
        <f>SUM(H9:H12)</f>
        <v>33.18</v>
      </c>
      <c r="I13" s="216">
        <f>SUM(I9:I12)</f>
        <v>538.84709999999995</v>
      </c>
      <c r="J13" s="156">
        <f>SUM(J9:J12)</f>
        <v>423.84709999999995</v>
      </c>
      <c r="L13" s="232" t="s">
        <v>84</v>
      </c>
      <c r="M13" s="233"/>
      <c r="N13" s="161">
        <f>SUM(N9:N12)</f>
        <v>26.1</v>
      </c>
      <c r="O13" s="156">
        <f>SUM(O9:O12)</f>
        <v>414.27449999999999</v>
      </c>
    </row>
    <row r="14" spans="1:15" x14ac:dyDescent="0.2">
      <c r="A14" s="261"/>
      <c r="B14" s="261"/>
      <c r="C14" s="261"/>
      <c r="D14" s="261"/>
    </row>
    <row r="15" spans="1:15" x14ac:dyDescent="0.2">
      <c r="A15" s="296" t="s">
        <v>100</v>
      </c>
      <c r="B15" s="296"/>
      <c r="C15" s="296"/>
      <c r="D15" s="296"/>
    </row>
    <row r="16" spans="1:15" ht="54" customHeight="1" thickBot="1" x14ac:dyDescent="0.25">
      <c r="A16" s="296"/>
      <c r="B16" s="296"/>
      <c r="C16" s="296"/>
      <c r="D16" s="296"/>
    </row>
    <row r="17" spans="1:12" ht="28.5" customHeight="1" thickBot="1" x14ac:dyDescent="0.25">
      <c r="A17" s="169"/>
      <c r="B17"/>
      <c r="C17"/>
      <c r="D17"/>
      <c r="F17" s="279" t="s">
        <v>94</v>
      </c>
      <c r="G17" s="279"/>
      <c r="H17" s="279"/>
      <c r="I17" s="210">
        <v>0</v>
      </c>
    </row>
    <row r="18" spans="1:12" ht="42" customHeight="1" thickBot="1" x14ac:dyDescent="0.25">
      <c r="A18" s="181"/>
      <c r="B18" s="278"/>
      <c r="C18" s="278"/>
      <c r="D18" s="170"/>
      <c r="F18" s="280" t="s">
        <v>98</v>
      </c>
      <c r="G18" s="281"/>
      <c r="H18" s="281"/>
      <c r="I18" s="281"/>
      <c r="J18" s="186"/>
      <c r="L18" s="217"/>
    </row>
    <row r="19" spans="1:12" ht="23.25" thickBot="1" x14ac:dyDescent="0.25">
      <c r="A19" s="172"/>
      <c r="B19" s="172"/>
      <c r="C19" s="172"/>
      <c r="D19" s="172"/>
      <c r="F19" s="160"/>
      <c r="G19" s="135" t="s">
        <v>55</v>
      </c>
      <c r="H19" s="159" t="s">
        <v>56</v>
      </c>
      <c r="I19" s="142" t="s">
        <v>57</v>
      </c>
      <c r="J19" s="181"/>
    </row>
    <row r="20" spans="1:12" ht="21" customHeight="1" x14ac:dyDescent="0.2">
      <c r="A20" s="182"/>
      <c r="B20" s="171"/>
      <c r="C20" s="171"/>
      <c r="D20" s="171"/>
      <c r="F20" s="252" t="s">
        <v>58</v>
      </c>
      <c r="G20" s="246">
        <f>IF($I$17&gt;=$G$3,$I$17,$G$3)</f>
        <v>1759.5</v>
      </c>
      <c r="H20" s="265">
        <v>24.18</v>
      </c>
      <c r="I20" s="284">
        <f>G20*H20%</f>
        <v>425.44709999999998</v>
      </c>
      <c r="J20" s="186"/>
    </row>
    <row r="21" spans="1:12" ht="24.75" customHeight="1" thickBot="1" x14ac:dyDescent="0.25">
      <c r="A21" s="182"/>
      <c r="B21" s="171"/>
      <c r="C21" s="171"/>
      <c r="D21" s="171"/>
      <c r="F21" s="253"/>
      <c r="G21" s="247"/>
      <c r="H21" s="266"/>
      <c r="I21" s="285"/>
      <c r="J21" s="186"/>
    </row>
    <row r="22" spans="1:12" ht="20.25" customHeight="1" x14ac:dyDescent="0.2">
      <c r="A22" s="183"/>
      <c r="B22" s="184"/>
      <c r="C22" s="184"/>
      <c r="D22" s="184"/>
      <c r="F22" s="252" t="s">
        <v>59</v>
      </c>
      <c r="G22" s="246">
        <f>IF($I$17&gt;=$I$3,$I$17,$I$3)</f>
        <v>1260</v>
      </c>
      <c r="H22" s="265">
        <v>9</v>
      </c>
      <c r="I22" s="246">
        <f>G22*H22%</f>
        <v>113.39999999999999</v>
      </c>
      <c r="J22" s="181"/>
    </row>
    <row r="23" spans="1:12" ht="14.25" customHeight="1" thickBot="1" x14ac:dyDescent="0.25">
      <c r="A23" s="163"/>
      <c r="B23" s="163"/>
      <c r="C23" s="173"/>
      <c r="D23" s="173"/>
      <c r="F23" s="253"/>
      <c r="G23" s="247"/>
      <c r="H23" s="266"/>
      <c r="I23" s="247"/>
      <c r="J23" s="181"/>
    </row>
    <row r="24" spans="1:12" ht="25.5" customHeight="1" thickBot="1" x14ac:dyDescent="0.25">
      <c r="A24" s="163"/>
      <c r="B24" s="163"/>
      <c r="C24" s="173"/>
      <c r="D24" s="173"/>
      <c r="F24" s="232" t="s">
        <v>86</v>
      </c>
      <c r="G24" s="233"/>
      <c r="H24" s="161">
        <f>(H20+H22)</f>
        <v>33.18</v>
      </c>
      <c r="I24" s="187">
        <f>(I20+I22)</f>
        <v>538.84709999999995</v>
      </c>
      <c r="J24" s="186"/>
    </row>
    <row r="25" spans="1:12" ht="26.25" customHeight="1" x14ac:dyDescent="0.2">
      <c r="A25" s="183"/>
      <c r="B25" s="184"/>
      <c r="C25" s="184"/>
      <c r="D25" s="184"/>
    </row>
    <row r="26" spans="1:12" ht="20.25" customHeight="1" x14ac:dyDescent="0.2">
      <c r="A26" s="163"/>
      <c r="B26" s="163"/>
      <c r="C26" s="185"/>
      <c r="D26" s="185"/>
      <c r="F26" s="283" t="s">
        <v>67</v>
      </c>
      <c r="G26" s="283"/>
      <c r="H26" s="283"/>
      <c r="I26" s="282" t="s">
        <v>97</v>
      </c>
    </row>
    <row r="27" spans="1:12" ht="20.65" customHeight="1" x14ac:dyDescent="0.2">
      <c r="A27" s="163"/>
      <c r="B27" s="163"/>
      <c r="C27" s="185"/>
      <c r="D27" s="185"/>
      <c r="F27" s="283"/>
      <c r="G27" s="283"/>
      <c r="H27" s="283"/>
      <c r="I27" s="282"/>
    </row>
    <row r="29" spans="1:12" x14ac:dyDescent="0.2">
      <c r="H29" s="162"/>
    </row>
  </sheetData>
  <sheetProtection algorithmName="SHA-512" hashValue="zpvt54vK2dZFgNAiUHxqb1eE5Jeljc6VotDJ8tAQozQDMJjzRZYb+AAsLfvRBBFhElEGlPfB1+PHfWJmssqfzw==" saltValue="3WuKDvSq0K9ootjbrJs+9Q==" spinCount="100000" sheet="1" objects="1" scenarios="1"/>
  <protectedRanges>
    <protectedRange sqref="I26" name="CALCULO RC"/>
    <protectedRange sqref="C26:D26" name="RET PRACTICAS"/>
    <protectedRange sqref="C23:D23" name="DED"/>
    <protectedRange sqref="I5 O5" name="RET PREDOC_1"/>
    <protectedRange sqref="I17" name="RET PREDOC_2"/>
  </protectedRanges>
  <mergeCells count="44">
    <mergeCell ref="J11:J12"/>
    <mergeCell ref="L11:L12"/>
    <mergeCell ref="M11:M12"/>
    <mergeCell ref="N11:N12"/>
    <mergeCell ref="O11:O12"/>
    <mergeCell ref="L13:M13"/>
    <mergeCell ref="L5:N5"/>
    <mergeCell ref="L6:O7"/>
    <mergeCell ref="L9:L10"/>
    <mergeCell ref="M9:M10"/>
    <mergeCell ref="N9:N10"/>
    <mergeCell ref="O9:O10"/>
    <mergeCell ref="A15:D16"/>
    <mergeCell ref="B2:D2"/>
    <mergeCell ref="A1:D1"/>
    <mergeCell ref="F13:G13"/>
    <mergeCell ref="G11:G12"/>
    <mergeCell ref="A13:D14"/>
    <mergeCell ref="I1:J1"/>
    <mergeCell ref="G1:H1"/>
    <mergeCell ref="G9:G10"/>
    <mergeCell ref="F5:H5"/>
    <mergeCell ref="F6:I7"/>
    <mergeCell ref="J9:J10"/>
    <mergeCell ref="I11:I12"/>
    <mergeCell ref="F9:F10"/>
    <mergeCell ref="F11:F12"/>
    <mergeCell ref="H9:H10"/>
    <mergeCell ref="I9:I10"/>
    <mergeCell ref="H11:H12"/>
    <mergeCell ref="I26:I27"/>
    <mergeCell ref="F26:H27"/>
    <mergeCell ref="I20:I21"/>
    <mergeCell ref="I22:I23"/>
    <mergeCell ref="F24:G24"/>
    <mergeCell ref="H22:H23"/>
    <mergeCell ref="G22:G23"/>
    <mergeCell ref="F22:F23"/>
    <mergeCell ref="B18:C18"/>
    <mergeCell ref="F17:H17"/>
    <mergeCell ref="F18:I18"/>
    <mergeCell ref="H20:H21"/>
    <mergeCell ref="G20:G21"/>
    <mergeCell ref="F20:F21"/>
  </mergeCells>
  <hyperlinks>
    <hyperlink ref="I26:I27" r:id="rId1" display="CALCULO RC E INDEMNIZACION" xr:uid="{00000000-0004-0000-02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0"/>
  <sheetViews>
    <sheetView topLeftCell="A13" zoomScaleNormal="100" workbookViewId="0">
      <selection activeCell="L6" sqref="L6"/>
    </sheetView>
  </sheetViews>
  <sheetFormatPr baseColWidth="10" defaultColWidth="11.5703125" defaultRowHeight="14.25" x14ac:dyDescent="0.2"/>
  <cols>
    <col min="1" max="1" width="18.42578125" style="4" customWidth="1"/>
    <col min="2" max="2" width="28.5703125" style="68" customWidth="1"/>
    <col min="3" max="3" width="0.140625" style="69" customWidth="1"/>
    <col min="4" max="4" width="26.7109375" style="68" customWidth="1"/>
    <col min="5" max="5" width="18.42578125" style="5" customWidth="1"/>
    <col min="6" max="6" width="24.7109375" style="68" customWidth="1"/>
    <col min="7" max="7" width="18.42578125" style="68" customWidth="1"/>
    <col min="8" max="8" width="11.5703125" style="5"/>
    <col min="9" max="9" width="17.7109375" style="7" customWidth="1"/>
    <col min="10" max="10" width="20.42578125" style="5" customWidth="1"/>
    <col min="11" max="11" width="19.42578125" style="5" customWidth="1"/>
    <col min="12" max="12" width="17.42578125" style="5" customWidth="1"/>
    <col min="13" max="13" width="15.42578125" style="5" customWidth="1"/>
    <col min="14" max="16384" width="11.5703125" style="5"/>
  </cols>
  <sheetData>
    <row r="1" spans="1:15" s="8" customFormat="1" ht="65.25" customHeight="1" x14ac:dyDescent="0.2">
      <c r="A1" s="222" t="s">
        <v>111</v>
      </c>
      <c r="B1" s="223"/>
      <c r="C1" s="223"/>
      <c r="D1" s="223"/>
      <c r="E1" s="223"/>
      <c r="F1" s="223"/>
      <c r="G1" s="223"/>
      <c r="K1" s="19"/>
    </row>
    <row r="2" spans="1:15" s="36" customFormat="1" ht="24.75" customHeight="1" x14ac:dyDescent="0.2">
      <c r="A2" s="44"/>
      <c r="B2" s="302" t="s">
        <v>47</v>
      </c>
      <c r="C2" s="302"/>
      <c r="D2" s="303"/>
      <c r="E2" s="42"/>
      <c r="F2" s="302" t="s">
        <v>48</v>
      </c>
      <c r="G2" s="303"/>
      <c r="I2" s="224" t="s">
        <v>50</v>
      </c>
      <c r="J2" s="224"/>
      <c r="K2" s="224"/>
      <c r="L2" s="224" t="s">
        <v>54</v>
      </c>
      <c r="M2" s="224"/>
    </row>
    <row r="3" spans="1:15" s="27" customFormat="1" ht="38.25" x14ac:dyDescent="0.2">
      <c r="A3" s="43" t="s">
        <v>45</v>
      </c>
      <c r="B3" s="65" t="s">
        <v>46</v>
      </c>
      <c r="C3" s="66" t="s">
        <v>15</v>
      </c>
      <c r="D3" s="67" t="s">
        <v>108</v>
      </c>
      <c r="E3" s="40" t="s">
        <v>45</v>
      </c>
      <c r="F3" s="65" t="s">
        <v>46</v>
      </c>
      <c r="G3" s="67" t="s">
        <v>109</v>
      </c>
      <c r="I3" s="124" t="s">
        <v>49</v>
      </c>
      <c r="J3" s="124" t="s">
        <v>60</v>
      </c>
      <c r="K3" s="124" t="s">
        <v>61</v>
      </c>
      <c r="L3" s="125" t="s">
        <v>52</v>
      </c>
      <c r="M3" s="124" t="s">
        <v>53</v>
      </c>
      <c r="O3" s="124"/>
    </row>
    <row r="4" spans="1:15" ht="15" customHeight="1" x14ac:dyDescent="0.2">
      <c r="A4" s="37">
        <v>37.5</v>
      </c>
      <c r="B4" s="71">
        <f>PARAMETROS!B5</f>
        <v>1699.8952912249999</v>
      </c>
      <c r="C4" s="72"/>
      <c r="D4" s="71"/>
      <c r="E4" s="37">
        <v>37.5</v>
      </c>
      <c r="F4" s="71">
        <f>PARAMETROS!C5</f>
        <v>2209.8639656250002</v>
      </c>
      <c r="G4" s="71">
        <f>IF(F4&gt;$K$4,$K$4*$K$18%,F4*$K$18%)</f>
        <v>735.22174136343745</v>
      </c>
      <c r="I4" s="225">
        <v>1</v>
      </c>
      <c r="J4" s="274">
        <v>1847.4</v>
      </c>
      <c r="K4" s="275">
        <v>4909.5</v>
      </c>
      <c r="L4" s="276">
        <v>1323</v>
      </c>
      <c r="M4" s="275">
        <v>4909.5</v>
      </c>
      <c r="N4" s="8"/>
    </row>
    <row r="5" spans="1:15" ht="15" customHeight="1" x14ac:dyDescent="0.2">
      <c r="A5" s="38">
        <v>36</v>
      </c>
      <c r="B5" s="73">
        <f>PRODUCT(B$4,A5)/A$4</f>
        <v>1631.899479576</v>
      </c>
      <c r="C5" s="74">
        <f t="shared" ref="C5:C40" si="0">(A5/$A$4*7.5*5)/7*30*$C$47</f>
        <v>1717.2000000000003</v>
      </c>
      <c r="D5" s="73">
        <f>IF(B5&lt;C5,C5*$K$18%,B5*$K$18%)</f>
        <v>571.31244000000004</v>
      </c>
      <c r="E5" s="38">
        <v>36</v>
      </c>
      <c r="F5" s="73">
        <f>PRODUCT(F$4,E5)/E$4</f>
        <v>2121.4694070000005</v>
      </c>
      <c r="G5" s="73">
        <f t="shared" ref="G5:G40" si="1">IF(F5&gt;$K$4,$K$4*$K$18%,F5*$K$18%)</f>
        <v>705.81287170890005</v>
      </c>
      <c r="I5" s="225"/>
      <c r="J5" s="274"/>
      <c r="K5" s="275"/>
      <c r="L5" s="276"/>
      <c r="M5" s="275"/>
      <c r="N5" s="8"/>
    </row>
    <row r="6" spans="1:15" ht="15" customHeight="1" x14ac:dyDescent="0.2">
      <c r="A6" s="38">
        <v>35</v>
      </c>
      <c r="B6" s="73">
        <f t="shared" ref="B6:B40" si="2">PRODUCT(B$4,A6)/A$4</f>
        <v>1586.5689384766665</v>
      </c>
      <c r="C6" s="74">
        <f t="shared" si="0"/>
        <v>1669.5000000000002</v>
      </c>
      <c r="D6" s="73">
        <f t="shared" ref="D6:D40" si="3">IF(B6&lt;C6,C6*$K$18%,B6*$K$18%)</f>
        <v>555.44264999999996</v>
      </c>
      <c r="E6" s="38">
        <v>35</v>
      </c>
      <c r="F6" s="73">
        <f t="shared" ref="F6:F40" si="4">PRODUCT(F$4,E6)/E$4</f>
        <v>2062.5397012500002</v>
      </c>
      <c r="G6" s="73">
        <f t="shared" si="1"/>
        <v>686.206958605875</v>
      </c>
      <c r="I6" s="35"/>
      <c r="J6" s="8"/>
      <c r="K6" s="8"/>
      <c r="L6" s="115"/>
      <c r="M6" s="8"/>
      <c r="N6" s="8"/>
    </row>
    <row r="7" spans="1:15" ht="15" customHeight="1" thickBot="1" x14ac:dyDescent="0.25">
      <c r="A7" s="38">
        <v>34</v>
      </c>
      <c r="B7" s="73">
        <f t="shared" si="2"/>
        <v>1541.2383973773333</v>
      </c>
      <c r="C7" s="74">
        <f t="shared" si="0"/>
        <v>1621.8</v>
      </c>
      <c r="D7" s="73">
        <f t="shared" si="3"/>
        <v>539.57285999999988</v>
      </c>
      <c r="E7" s="38">
        <v>34</v>
      </c>
      <c r="F7" s="73">
        <f t="shared" si="4"/>
        <v>2003.6099955000002</v>
      </c>
      <c r="G7" s="73">
        <f t="shared" si="1"/>
        <v>666.60104550284996</v>
      </c>
      <c r="I7" s="35"/>
      <c r="J7" s="19"/>
      <c r="K7" s="8"/>
      <c r="L7" s="115"/>
      <c r="M7" s="8"/>
      <c r="N7" s="8"/>
    </row>
    <row r="8" spans="1:15" ht="15" customHeight="1" x14ac:dyDescent="0.2">
      <c r="A8" s="38">
        <v>33</v>
      </c>
      <c r="B8" s="73">
        <f t="shared" si="2"/>
        <v>1495.9078562780001</v>
      </c>
      <c r="C8" s="74">
        <f t="shared" si="0"/>
        <v>1574.1000000000004</v>
      </c>
      <c r="D8" s="73">
        <f t="shared" si="3"/>
        <v>523.70307000000003</v>
      </c>
      <c r="E8" s="38">
        <v>33</v>
      </c>
      <c r="F8" s="73">
        <f t="shared" si="4"/>
        <v>1944.6802897500002</v>
      </c>
      <c r="G8" s="73">
        <f t="shared" si="1"/>
        <v>646.99513239982491</v>
      </c>
      <c r="I8" s="236" t="s">
        <v>87</v>
      </c>
      <c r="J8" s="236"/>
      <c r="K8" s="237"/>
      <c r="L8" s="234">
        <v>0</v>
      </c>
      <c r="M8" s="8"/>
      <c r="N8" s="8"/>
    </row>
    <row r="9" spans="1:15" ht="15" customHeight="1" thickBot="1" x14ac:dyDescent="0.25">
      <c r="A9" s="38">
        <v>32</v>
      </c>
      <c r="B9" s="73">
        <f t="shared" si="2"/>
        <v>1450.5773151786666</v>
      </c>
      <c r="C9" s="74">
        <f t="shared" si="0"/>
        <v>1526.4</v>
      </c>
      <c r="D9" s="73">
        <f t="shared" si="3"/>
        <v>507.83327999999995</v>
      </c>
      <c r="E9" s="38">
        <v>32</v>
      </c>
      <c r="F9" s="73">
        <f t="shared" si="4"/>
        <v>1885.7505840000001</v>
      </c>
      <c r="G9" s="73">
        <f t="shared" si="1"/>
        <v>627.38921929679998</v>
      </c>
      <c r="I9" s="236"/>
      <c r="J9" s="236"/>
      <c r="K9" s="237"/>
      <c r="L9" s="235"/>
      <c r="M9" s="8"/>
      <c r="N9" s="8"/>
    </row>
    <row r="10" spans="1:15" ht="15" customHeight="1" thickBot="1" x14ac:dyDescent="0.25">
      <c r="A10" s="38">
        <v>31</v>
      </c>
      <c r="B10" s="73">
        <f t="shared" si="2"/>
        <v>1405.2467740793331</v>
      </c>
      <c r="C10" s="74">
        <f t="shared" si="0"/>
        <v>1478.7</v>
      </c>
      <c r="D10" s="73">
        <f t="shared" si="3"/>
        <v>491.96348999999992</v>
      </c>
      <c r="E10" s="38">
        <v>31</v>
      </c>
      <c r="F10" s="73">
        <f t="shared" si="4"/>
        <v>1826.8208782500001</v>
      </c>
      <c r="G10" s="73">
        <f t="shared" si="1"/>
        <v>607.78330619377493</v>
      </c>
      <c r="I10" s="120"/>
      <c r="J10" s="121"/>
      <c r="K10" s="122"/>
      <c r="L10" s="123"/>
      <c r="M10" s="8"/>
      <c r="N10" s="8"/>
    </row>
    <row r="11" spans="1:15" ht="15" customHeight="1" x14ac:dyDescent="0.2">
      <c r="A11" s="38">
        <v>30</v>
      </c>
      <c r="B11" s="73">
        <f t="shared" si="2"/>
        <v>1359.9162329799999</v>
      </c>
      <c r="C11" s="74">
        <f t="shared" si="0"/>
        <v>1431</v>
      </c>
      <c r="D11" s="73">
        <f t="shared" si="3"/>
        <v>476.0936999999999</v>
      </c>
      <c r="E11" s="38">
        <v>30</v>
      </c>
      <c r="F11" s="73">
        <f t="shared" si="4"/>
        <v>1767.8911725</v>
      </c>
      <c r="G11" s="73">
        <f t="shared" si="1"/>
        <v>588.17739309074989</v>
      </c>
      <c r="I11" s="238" t="s">
        <v>62</v>
      </c>
      <c r="J11" s="239"/>
      <c r="K11" s="239"/>
      <c r="L11" s="240"/>
      <c r="M11" s="8"/>
      <c r="N11" s="8"/>
    </row>
    <row r="12" spans="1:15" ht="15" customHeight="1" thickBot="1" x14ac:dyDescent="0.25">
      <c r="A12" s="38">
        <v>29</v>
      </c>
      <c r="B12" s="73">
        <f t="shared" si="2"/>
        <v>1314.5856918806667</v>
      </c>
      <c r="C12" s="74">
        <f t="shared" si="0"/>
        <v>1383.3000000000002</v>
      </c>
      <c r="D12" s="73">
        <f t="shared" si="3"/>
        <v>460.22390999999999</v>
      </c>
      <c r="E12" s="38">
        <v>29</v>
      </c>
      <c r="F12" s="73">
        <f t="shared" si="4"/>
        <v>1708.9614667500002</v>
      </c>
      <c r="G12" s="73">
        <f t="shared" si="1"/>
        <v>568.57147998772496</v>
      </c>
      <c r="I12" s="241"/>
      <c r="J12" s="242"/>
      <c r="K12" s="242"/>
      <c r="L12" s="243"/>
      <c r="M12" s="8"/>
      <c r="N12" s="8"/>
    </row>
    <row r="13" spans="1:15" ht="15" customHeight="1" thickBot="1" x14ac:dyDescent="0.25">
      <c r="A13" s="38">
        <v>28</v>
      </c>
      <c r="B13" s="73">
        <f t="shared" si="2"/>
        <v>1269.2551507813332</v>
      </c>
      <c r="C13" s="74">
        <f t="shared" si="0"/>
        <v>1335.6000000000004</v>
      </c>
      <c r="D13" s="73">
        <f t="shared" si="3"/>
        <v>444.35412000000002</v>
      </c>
      <c r="E13" s="38">
        <v>28</v>
      </c>
      <c r="F13" s="73">
        <f t="shared" si="4"/>
        <v>1650.0317610000002</v>
      </c>
      <c r="G13" s="73">
        <f t="shared" si="1"/>
        <v>548.96556688469991</v>
      </c>
      <c r="I13" s="117"/>
      <c r="J13" s="135" t="s">
        <v>55</v>
      </c>
      <c r="K13" s="133" t="s">
        <v>56</v>
      </c>
      <c r="L13" s="142" t="s">
        <v>57</v>
      </c>
      <c r="M13" s="8"/>
      <c r="N13" s="8"/>
    </row>
    <row r="14" spans="1:15" ht="15" customHeight="1" x14ac:dyDescent="0.2">
      <c r="A14" s="38">
        <v>27</v>
      </c>
      <c r="B14" s="73">
        <f t="shared" si="2"/>
        <v>1223.924609682</v>
      </c>
      <c r="C14" s="74">
        <f t="shared" si="0"/>
        <v>1287.9000000000001</v>
      </c>
      <c r="D14" s="73">
        <f t="shared" si="3"/>
        <v>428.48432999999994</v>
      </c>
      <c r="E14" s="38">
        <v>27</v>
      </c>
      <c r="F14" s="73">
        <f t="shared" si="4"/>
        <v>1591.1020552500001</v>
      </c>
      <c r="G14" s="73">
        <f t="shared" si="1"/>
        <v>529.35965378167498</v>
      </c>
      <c r="I14" s="244" t="s">
        <v>58</v>
      </c>
      <c r="J14" s="246">
        <f>IF(L8&gt;=J4,L8,J4)</f>
        <v>1847.4</v>
      </c>
      <c r="K14" s="248">
        <v>24.27</v>
      </c>
      <c r="L14" s="254">
        <f>J14*K14%</f>
        <v>448.36398000000003</v>
      </c>
      <c r="M14" s="8"/>
      <c r="N14" s="8"/>
    </row>
    <row r="15" spans="1:15" ht="15" customHeight="1" thickBot="1" x14ac:dyDescent="0.25">
      <c r="A15" s="38">
        <v>26</v>
      </c>
      <c r="B15" s="73">
        <f t="shared" si="2"/>
        <v>1178.5940685826665</v>
      </c>
      <c r="C15" s="74">
        <f t="shared" si="0"/>
        <v>1240.2</v>
      </c>
      <c r="D15" s="73">
        <f t="shared" si="3"/>
        <v>412.61453999999992</v>
      </c>
      <c r="E15" s="38">
        <v>26</v>
      </c>
      <c r="F15" s="73">
        <f t="shared" si="4"/>
        <v>1532.1723495000001</v>
      </c>
      <c r="G15" s="73">
        <f t="shared" si="1"/>
        <v>509.75374067864993</v>
      </c>
      <c r="I15" s="245"/>
      <c r="J15" s="247"/>
      <c r="K15" s="249"/>
      <c r="L15" s="255"/>
      <c r="M15" s="8"/>
      <c r="N15" s="8"/>
    </row>
    <row r="16" spans="1:15" ht="15" customHeight="1" x14ac:dyDescent="0.2">
      <c r="A16" s="38">
        <v>25</v>
      </c>
      <c r="B16" s="73">
        <f t="shared" si="2"/>
        <v>1133.2635274833333</v>
      </c>
      <c r="C16" s="74">
        <f t="shared" si="0"/>
        <v>1192.5000000000002</v>
      </c>
      <c r="D16" s="73">
        <f t="shared" si="3"/>
        <v>396.74475000000001</v>
      </c>
      <c r="E16" s="38">
        <v>25</v>
      </c>
      <c r="F16" s="73">
        <f t="shared" si="4"/>
        <v>1473.2426437500001</v>
      </c>
      <c r="G16" s="73">
        <f t="shared" si="1"/>
        <v>490.14782757562494</v>
      </c>
      <c r="I16" s="252" t="s">
        <v>59</v>
      </c>
      <c r="J16" s="246">
        <f>IF(L8&gt;=L4,L8,L4)</f>
        <v>1323</v>
      </c>
      <c r="K16" s="248">
        <v>9</v>
      </c>
      <c r="L16" s="250">
        <f>J16*K16%</f>
        <v>119.07</v>
      </c>
      <c r="M16" s="8"/>
      <c r="N16" s="8"/>
    </row>
    <row r="17" spans="1:14" ht="15" customHeight="1" thickBot="1" x14ac:dyDescent="0.25">
      <c r="A17" s="38">
        <v>24</v>
      </c>
      <c r="B17" s="73">
        <f t="shared" si="2"/>
        <v>1087.9329863840001</v>
      </c>
      <c r="C17" s="74">
        <f t="shared" si="0"/>
        <v>1144.8</v>
      </c>
      <c r="D17" s="73">
        <f t="shared" si="3"/>
        <v>380.87495999999993</v>
      </c>
      <c r="E17" s="38">
        <v>24</v>
      </c>
      <c r="F17" s="73">
        <f t="shared" si="4"/>
        <v>1414.3129380000003</v>
      </c>
      <c r="G17" s="73">
        <f t="shared" si="1"/>
        <v>470.54191447260001</v>
      </c>
      <c r="I17" s="253"/>
      <c r="J17" s="247"/>
      <c r="K17" s="249">
        <v>0.2</v>
      </c>
      <c r="L17" s="251"/>
      <c r="M17" s="8"/>
      <c r="N17" s="8"/>
    </row>
    <row r="18" spans="1:14" ht="16.5" customHeight="1" thickBot="1" x14ac:dyDescent="0.25">
      <c r="A18" s="38">
        <v>23</v>
      </c>
      <c r="B18" s="73">
        <f t="shared" si="2"/>
        <v>1042.6024452846666</v>
      </c>
      <c r="C18" s="74">
        <f t="shared" si="0"/>
        <v>1097.1000000000001</v>
      </c>
      <c r="D18" s="73">
        <f t="shared" si="3"/>
        <v>365.00516999999996</v>
      </c>
      <c r="E18" s="38">
        <v>23</v>
      </c>
      <c r="F18" s="73">
        <f t="shared" si="4"/>
        <v>1355.3832322500002</v>
      </c>
      <c r="G18" s="73">
        <f t="shared" si="1"/>
        <v>450.93600136957497</v>
      </c>
      <c r="I18" s="232" t="s">
        <v>63</v>
      </c>
      <c r="J18" s="233"/>
      <c r="K18" s="134">
        <f>(K14+K16)</f>
        <v>33.269999999999996</v>
      </c>
      <c r="L18" s="130">
        <f>SUM(L14:L17)</f>
        <v>567.43398000000002</v>
      </c>
      <c r="M18" s="8"/>
      <c r="N18" s="8"/>
    </row>
    <row r="19" spans="1:14" ht="15" customHeight="1" x14ac:dyDescent="0.2">
      <c r="A19" s="38">
        <v>22</v>
      </c>
      <c r="B19" s="73">
        <f t="shared" si="2"/>
        <v>997.27190418533326</v>
      </c>
      <c r="C19" s="74">
        <f t="shared" si="0"/>
        <v>1049.4000000000001</v>
      </c>
      <c r="D19" s="73">
        <f t="shared" si="3"/>
        <v>349.13537999999994</v>
      </c>
      <c r="E19" s="38">
        <v>22</v>
      </c>
      <c r="F19" s="73">
        <f t="shared" si="4"/>
        <v>1296.4535265000002</v>
      </c>
      <c r="G19" s="73">
        <f t="shared" si="1"/>
        <v>431.33008826654998</v>
      </c>
      <c r="I19" s="126"/>
      <c r="J19" s="127"/>
      <c r="K19" s="128"/>
      <c r="L19" s="129"/>
      <c r="M19" s="8"/>
      <c r="N19" s="8"/>
    </row>
    <row r="20" spans="1:14" ht="15" customHeight="1" x14ac:dyDescent="0.2">
      <c r="A20" s="38">
        <v>21</v>
      </c>
      <c r="B20" s="73">
        <f t="shared" si="2"/>
        <v>951.94136308600002</v>
      </c>
      <c r="C20" s="74">
        <f t="shared" si="0"/>
        <v>1001.7</v>
      </c>
      <c r="D20" s="73">
        <f t="shared" si="3"/>
        <v>333.26558999999997</v>
      </c>
      <c r="E20" s="38">
        <v>21</v>
      </c>
      <c r="F20" s="73">
        <f t="shared" si="4"/>
        <v>1237.5238207500001</v>
      </c>
      <c r="G20" s="73">
        <f t="shared" si="1"/>
        <v>411.72417516352499</v>
      </c>
      <c r="I20" s="277" t="s">
        <v>77</v>
      </c>
      <c r="J20" s="277"/>
      <c r="K20" s="277"/>
      <c r="L20" s="277"/>
      <c r="M20" s="277"/>
      <c r="N20" s="277"/>
    </row>
    <row r="21" spans="1:14" ht="15" customHeight="1" x14ac:dyDescent="0.2">
      <c r="A21" s="38">
        <v>20</v>
      </c>
      <c r="B21" s="73">
        <f t="shared" si="2"/>
        <v>906.61082198666656</v>
      </c>
      <c r="C21" s="74">
        <f t="shared" si="0"/>
        <v>954.00000000000011</v>
      </c>
      <c r="D21" s="73">
        <f t="shared" si="3"/>
        <v>317.39580000000001</v>
      </c>
      <c r="E21" s="38">
        <v>20</v>
      </c>
      <c r="F21" s="73">
        <f t="shared" si="4"/>
        <v>1178.5941150000001</v>
      </c>
      <c r="G21" s="73">
        <f t="shared" si="1"/>
        <v>392.11826206049994</v>
      </c>
      <c r="I21" s="277"/>
      <c r="J21" s="277"/>
      <c r="K21" s="277"/>
      <c r="L21" s="277"/>
      <c r="M21" s="277"/>
      <c r="N21" s="277"/>
    </row>
    <row r="22" spans="1:14" ht="15" customHeight="1" thickBot="1" x14ac:dyDescent="0.25">
      <c r="A22" s="38">
        <v>19</v>
      </c>
      <c r="B22" s="73">
        <f t="shared" si="2"/>
        <v>861.28028088733333</v>
      </c>
      <c r="C22" s="74">
        <f t="shared" si="0"/>
        <v>906.30000000000007</v>
      </c>
      <c r="D22" s="73">
        <f t="shared" si="3"/>
        <v>301.52600999999999</v>
      </c>
      <c r="E22" s="38">
        <v>19</v>
      </c>
      <c r="F22" s="73">
        <f t="shared" si="4"/>
        <v>1119.6644092500001</v>
      </c>
      <c r="G22" s="73">
        <f t="shared" si="1"/>
        <v>372.51234895747496</v>
      </c>
      <c r="I22" s="35"/>
      <c r="J22" s="19"/>
      <c r="K22" s="8"/>
      <c r="L22" s="115"/>
      <c r="M22" s="8"/>
      <c r="N22" s="8"/>
    </row>
    <row r="23" spans="1:14" ht="15" customHeight="1" x14ac:dyDescent="0.2">
      <c r="A23" s="38">
        <v>18</v>
      </c>
      <c r="B23" s="73">
        <f t="shared" si="2"/>
        <v>815.94973978799999</v>
      </c>
      <c r="C23" s="74">
        <f t="shared" si="0"/>
        <v>858.60000000000014</v>
      </c>
      <c r="D23" s="73">
        <f t="shared" si="3"/>
        <v>285.65622000000002</v>
      </c>
      <c r="E23" s="38">
        <v>18</v>
      </c>
      <c r="F23" s="73">
        <f t="shared" si="4"/>
        <v>1060.7347035000003</v>
      </c>
      <c r="G23" s="73">
        <f t="shared" si="1"/>
        <v>352.90643585445002</v>
      </c>
      <c r="I23" s="236" t="s">
        <v>64</v>
      </c>
      <c r="J23" s="236"/>
      <c r="K23" s="237"/>
      <c r="L23" s="256">
        <v>0</v>
      </c>
      <c r="M23" s="8"/>
      <c r="N23" s="8"/>
    </row>
    <row r="24" spans="1:14" ht="15" customHeight="1" thickBot="1" x14ac:dyDescent="0.25">
      <c r="A24" s="38">
        <v>17</v>
      </c>
      <c r="B24" s="73">
        <f t="shared" si="2"/>
        <v>770.61919868866664</v>
      </c>
      <c r="C24" s="74">
        <f t="shared" si="0"/>
        <v>810.9</v>
      </c>
      <c r="D24" s="73">
        <f t="shared" si="3"/>
        <v>269.78642999999994</v>
      </c>
      <c r="E24" s="38">
        <v>17</v>
      </c>
      <c r="F24" s="73">
        <f t="shared" si="4"/>
        <v>1001.8049977500001</v>
      </c>
      <c r="G24" s="73">
        <f t="shared" si="1"/>
        <v>333.30052275142498</v>
      </c>
      <c r="I24" s="236"/>
      <c r="J24" s="236"/>
      <c r="K24" s="237"/>
      <c r="L24" s="257"/>
      <c r="M24" s="8"/>
      <c r="N24" s="8"/>
    </row>
    <row r="25" spans="1:14" ht="15" customHeight="1" thickBot="1" x14ac:dyDescent="0.25">
      <c r="A25" s="38">
        <v>16</v>
      </c>
      <c r="B25" s="73">
        <f t="shared" si="2"/>
        <v>725.2886575893333</v>
      </c>
      <c r="C25" s="74">
        <f t="shared" si="0"/>
        <v>763.2</v>
      </c>
      <c r="D25" s="73">
        <f t="shared" si="3"/>
        <v>253.91663999999997</v>
      </c>
      <c r="E25" s="38">
        <v>16</v>
      </c>
      <c r="F25" s="73">
        <f t="shared" si="4"/>
        <v>942.87529200000006</v>
      </c>
      <c r="G25" s="73">
        <f t="shared" si="1"/>
        <v>313.69460964839999</v>
      </c>
      <c r="I25" s="35"/>
      <c r="J25" s="19"/>
      <c r="K25" s="8"/>
      <c r="L25" s="115"/>
      <c r="M25" s="8"/>
      <c r="N25" s="8"/>
    </row>
    <row r="26" spans="1:14" ht="15" customHeight="1" x14ac:dyDescent="0.2">
      <c r="A26" s="38">
        <v>15</v>
      </c>
      <c r="B26" s="73">
        <f t="shared" si="2"/>
        <v>679.95811648999995</v>
      </c>
      <c r="C26" s="74">
        <f t="shared" si="0"/>
        <v>715.5</v>
      </c>
      <c r="D26" s="73">
        <f t="shared" si="3"/>
        <v>238.04684999999995</v>
      </c>
      <c r="E26" s="38">
        <v>15</v>
      </c>
      <c r="F26" s="73">
        <f t="shared" si="4"/>
        <v>883.94558625000002</v>
      </c>
      <c r="G26" s="73">
        <f t="shared" si="1"/>
        <v>294.08869654537494</v>
      </c>
      <c r="I26" s="236" t="s">
        <v>68</v>
      </c>
      <c r="J26" s="236"/>
      <c r="K26" s="237"/>
      <c r="L26" s="234">
        <v>0</v>
      </c>
      <c r="M26" s="8"/>
      <c r="N26" s="8"/>
    </row>
    <row r="27" spans="1:14" ht="15" customHeight="1" thickBot="1" x14ac:dyDescent="0.25">
      <c r="A27" s="38">
        <v>14</v>
      </c>
      <c r="B27" s="73">
        <f t="shared" si="2"/>
        <v>634.62757539066661</v>
      </c>
      <c r="C27" s="74">
        <f t="shared" si="0"/>
        <v>667.80000000000018</v>
      </c>
      <c r="D27" s="73">
        <f t="shared" si="3"/>
        <v>222.17706000000001</v>
      </c>
      <c r="E27" s="38">
        <v>14</v>
      </c>
      <c r="F27" s="73">
        <f t="shared" si="4"/>
        <v>825.01588050000009</v>
      </c>
      <c r="G27" s="73">
        <f t="shared" si="1"/>
        <v>274.48278344234996</v>
      </c>
      <c r="I27" s="236"/>
      <c r="J27" s="236"/>
      <c r="K27" s="237"/>
      <c r="L27" s="235"/>
      <c r="M27" s="8"/>
      <c r="N27" s="8"/>
    </row>
    <row r="28" spans="1:14" ht="15" customHeight="1" thickBot="1" x14ac:dyDescent="0.25">
      <c r="A28" s="38">
        <v>13</v>
      </c>
      <c r="B28" s="73">
        <f t="shared" si="2"/>
        <v>589.29703429133326</v>
      </c>
      <c r="C28" s="74">
        <f t="shared" si="0"/>
        <v>620.1</v>
      </c>
      <c r="D28" s="73">
        <f t="shared" si="3"/>
        <v>206.30726999999996</v>
      </c>
      <c r="E28" s="38">
        <v>13</v>
      </c>
      <c r="F28" s="73">
        <f t="shared" si="4"/>
        <v>766.08617475000005</v>
      </c>
      <c r="G28" s="73">
        <f t="shared" si="1"/>
        <v>254.87687033932497</v>
      </c>
      <c r="I28" s="35"/>
      <c r="J28" s="19"/>
      <c r="K28" s="8"/>
      <c r="L28" s="115"/>
      <c r="M28" s="8"/>
      <c r="N28" s="8"/>
    </row>
    <row r="29" spans="1:14" ht="15" customHeight="1" x14ac:dyDescent="0.2">
      <c r="A29" s="38">
        <v>12</v>
      </c>
      <c r="B29" s="73">
        <f t="shared" si="2"/>
        <v>543.96649319200003</v>
      </c>
      <c r="C29" s="74">
        <f t="shared" si="0"/>
        <v>572.4</v>
      </c>
      <c r="D29" s="73">
        <f t="shared" si="3"/>
        <v>190.43747999999997</v>
      </c>
      <c r="E29" s="38">
        <v>12</v>
      </c>
      <c r="F29" s="73">
        <f t="shared" si="4"/>
        <v>707.15646900000013</v>
      </c>
      <c r="G29" s="73">
        <f t="shared" si="1"/>
        <v>235.27095723630001</v>
      </c>
      <c r="I29" s="238" t="s">
        <v>65</v>
      </c>
      <c r="J29" s="239"/>
      <c r="K29" s="239"/>
      <c r="L29" s="240"/>
      <c r="M29" s="8"/>
      <c r="N29" s="8"/>
    </row>
    <row r="30" spans="1:14" ht="15" customHeight="1" thickBot="1" x14ac:dyDescent="0.25">
      <c r="A30" s="38">
        <v>11</v>
      </c>
      <c r="B30" s="73">
        <f t="shared" si="2"/>
        <v>498.63595209266663</v>
      </c>
      <c r="C30" s="74">
        <f t="shared" si="0"/>
        <v>524.70000000000005</v>
      </c>
      <c r="D30" s="73">
        <f t="shared" si="3"/>
        <v>174.56768999999997</v>
      </c>
      <c r="E30" s="38">
        <v>11</v>
      </c>
      <c r="F30" s="73">
        <f t="shared" si="4"/>
        <v>648.22676325000009</v>
      </c>
      <c r="G30" s="73">
        <f t="shared" si="1"/>
        <v>215.66504413327499</v>
      </c>
      <c r="I30" s="241"/>
      <c r="J30" s="242"/>
      <c r="K30" s="242"/>
      <c r="L30" s="243"/>
      <c r="M30" s="8"/>
      <c r="N30" s="8"/>
    </row>
    <row r="31" spans="1:14" ht="15" customHeight="1" thickBot="1" x14ac:dyDescent="0.25">
      <c r="A31" s="38">
        <v>10</v>
      </c>
      <c r="B31" s="73">
        <f t="shared" si="2"/>
        <v>453.30541099333328</v>
      </c>
      <c r="C31" s="74">
        <f t="shared" si="0"/>
        <v>477.00000000000006</v>
      </c>
      <c r="D31" s="73">
        <f t="shared" si="3"/>
        <v>158.6979</v>
      </c>
      <c r="E31" s="38">
        <v>10</v>
      </c>
      <c r="F31" s="73">
        <f t="shared" si="4"/>
        <v>589.29705750000005</v>
      </c>
      <c r="G31" s="73">
        <f t="shared" si="1"/>
        <v>196.05913103024997</v>
      </c>
      <c r="I31" s="137" t="s">
        <v>69</v>
      </c>
      <c r="J31" s="135" t="s">
        <v>55</v>
      </c>
      <c r="K31" s="133" t="s">
        <v>70</v>
      </c>
      <c r="L31" s="119" t="s">
        <v>57</v>
      </c>
      <c r="M31" s="8"/>
      <c r="N31" s="8"/>
    </row>
    <row r="32" spans="1:14" ht="15" customHeight="1" x14ac:dyDescent="0.2">
      <c r="A32" s="38">
        <v>9</v>
      </c>
      <c r="B32" s="73">
        <f t="shared" si="2"/>
        <v>407.97486989399999</v>
      </c>
      <c r="C32" s="74">
        <f t="shared" si="0"/>
        <v>429.30000000000007</v>
      </c>
      <c r="D32" s="73">
        <f t="shared" si="3"/>
        <v>142.82811000000001</v>
      </c>
      <c r="E32" s="38">
        <v>9</v>
      </c>
      <c r="F32" s="73">
        <f t="shared" si="4"/>
        <v>530.36735175000013</v>
      </c>
      <c r="G32" s="73">
        <f t="shared" si="1"/>
        <v>176.45321792722501</v>
      </c>
      <c r="I32" s="263">
        <f>((L23/37.5*7.5*5)/7)*30*$C$47</f>
        <v>0</v>
      </c>
      <c r="J32" s="265">
        <f>IF(L26&lt;I32,I32,L26)</f>
        <v>0</v>
      </c>
      <c r="K32" s="267">
        <v>33.270000000000003</v>
      </c>
      <c r="L32" s="250">
        <f>J32*K32%</f>
        <v>0</v>
      </c>
      <c r="M32" s="8"/>
      <c r="N32" s="8"/>
    </row>
    <row r="33" spans="1:14" ht="15" customHeight="1" thickBot="1" x14ac:dyDescent="0.25">
      <c r="A33" s="38">
        <v>8</v>
      </c>
      <c r="B33" s="73">
        <f t="shared" si="2"/>
        <v>362.64432879466665</v>
      </c>
      <c r="C33" s="74">
        <f t="shared" si="0"/>
        <v>381.6</v>
      </c>
      <c r="D33" s="73">
        <f t="shared" si="3"/>
        <v>126.95831999999999</v>
      </c>
      <c r="E33" s="38">
        <v>8</v>
      </c>
      <c r="F33" s="73">
        <f t="shared" si="4"/>
        <v>471.43764600000003</v>
      </c>
      <c r="G33" s="73">
        <f t="shared" si="1"/>
        <v>156.84730482419999</v>
      </c>
      <c r="I33" s="264"/>
      <c r="J33" s="266"/>
      <c r="K33" s="268"/>
      <c r="L33" s="269"/>
      <c r="M33" s="8"/>
      <c r="N33" s="8"/>
    </row>
    <row r="34" spans="1:14" ht="15" customHeight="1" thickBot="1" x14ac:dyDescent="0.25">
      <c r="A34" s="38">
        <v>7</v>
      </c>
      <c r="B34" s="73">
        <f t="shared" si="2"/>
        <v>317.3137876953333</v>
      </c>
      <c r="C34" s="74">
        <f t="shared" si="0"/>
        <v>333.90000000000009</v>
      </c>
      <c r="D34" s="73">
        <f t="shared" si="3"/>
        <v>111.08853000000001</v>
      </c>
      <c r="E34" s="38">
        <v>7</v>
      </c>
      <c r="F34" s="73">
        <f t="shared" si="4"/>
        <v>412.50794025000005</v>
      </c>
      <c r="G34" s="73">
        <f t="shared" si="1"/>
        <v>137.24139172117498</v>
      </c>
      <c r="I34" s="258" t="s">
        <v>66</v>
      </c>
      <c r="J34" s="259"/>
      <c r="K34" s="260"/>
      <c r="L34" s="130">
        <f>SUM(L32)</f>
        <v>0</v>
      </c>
      <c r="M34" s="8"/>
      <c r="N34" s="8"/>
    </row>
    <row r="35" spans="1:14" ht="15" customHeight="1" x14ac:dyDescent="0.2">
      <c r="A35" s="38">
        <v>6</v>
      </c>
      <c r="B35" s="73">
        <f t="shared" si="2"/>
        <v>271.98324659600001</v>
      </c>
      <c r="C35" s="74">
        <f t="shared" si="0"/>
        <v>286.2</v>
      </c>
      <c r="D35" s="73">
        <f t="shared" si="3"/>
        <v>95.218739999999983</v>
      </c>
      <c r="E35" s="38">
        <v>6</v>
      </c>
      <c r="F35" s="73">
        <f t="shared" si="4"/>
        <v>353.57823450000006</v>
      </c>
      <c r="G35" s="73">
        <f t="shared" si="1"/>
        <v>117.63547861815</v>
      </c>
      <c r="I35" s="35"/>
      <c r="J35" s="19"/>
      <c r="K35" s="8"/>
      <c r="L35" s="115"/>
      <c r="M35" s="8"/>
      <c r="N35" s="136"/>
    </row>
    <row r="36" spans="1:14" ht="15" customHeight="1" x14ac:dyDescent="0.2">
      <c r="A36" s="38">
        <v>5</v>
      </c>
      <c r="B36" s="73">
        <f t="shared" si="2"/>
        <v>226.65270549666664</v>
      </c>
      <c r="C36" s="74">
        <f t="shared" si="0"/>
        <v>238.50000000000003</v>
      </c>
      <c r="D36" s="73">
        <f t="shared" si="3"/>
        <v>79.348950000000002</v>
      </c>
      <c r="E36" s="38">
        <v>5</v>
      </c>
      <c r="F36" s="73">
        <f t="shared" si="4"/>
        <v>294.64852875000003</v>
      </c>
      <c r="G36" s="73">
        <f t="shared" si="1"/>
        <v>98.029565515124986</v>
      </c>
      <c r="I36" s="261" t="s">
        <v>67</v>
      </c>
      <c r="J36" s="261"/>
      <c r="K36" s="261"/>
      <c r="L36" s="261"/>
      <c r="M36" s="262" t="s">
        <v>101</v>
      </c>
      <c r="N36" s="136"/>
    </row>
    <row r="37" spans="1:14" ht="15" customHeight="1" x14ac:dyDescent="0.2">
      <c r="A37" s="38">
        <v>4</v>
      </c>
      <c r="B37" s="73">
        <f t="shared" si="2"/>
        <v>181.32216439733332</v>
      </c>
      <c r="C37" s="74">
        <f t="shared" si="0"/>
        <v>190.8</v>
      </c>
      <c r="D37" s="73">
        <f t="shared" si="3"/>
        <v>63.479159999999993</v>
      </c>
      <c r="E37" s="38">
        <v>4</v>
      </c>
      <c r="F37" s="73">
        <f t="shared" si="4"/>
        <v>235.71882300000001</v>
      </c>
      <c r="G37" s="73">
        <f t="shared" si="1"/>
        <v>78.423652412099997</v>
      </c>
      <c r="I37" s="261"/>
      <c r="J37" s="261"/>
      <c r="K37" s="261"/>
      <c r="L37" s="261"/>
      <c r="M37" s="262"/>
      <c r="N37" s="136"/>
    </row>
    <row r="38" spans="1:14" ht="15" customHeight="1" x14ac:dyDescent="0.2">
      <c r="A38" s="38">
        <v>3</v>
      </c>
      <c r="B38" s="73">
        <f t="shared" si="2"/>
        <v>135.99162329800001</v>
      </c>
      <c r="C38" s="74">
        <f t="shared" si="0"/>
        <v>143.1</v>
      </c>
      <c r="D38" s="73">
        <f t="shared" si="3"/>
        <v>47.609369999999991</v>
      </c>
      <c r="E38" s="38">
        <v>3</v>
      </c>
      <c r="F38" s="73">
        <f t="shared" si="4"/>
        <v>176.78911725000003</v>
      </c>
      <c r="G38" s="73">
        <f t="shared" si="1"/>
        <v>58.817739309075002</v>
      </c>
      <c r="I38" s="5"/>
    </row>
    <row r="39" spans="1:14" ht="15" customHeight="1" x14ac:dyDescent="0.2">
      <c r="A39" s="38">
        <v>2</v>
      </c>
      <c r="B39" s="73">
        <f t="shared" si="2"/>
        <v>90.661082198666662</v>
      </c>
      <c r="C39" s="74">
        <f t="shared" si="0"/>
        <v>95.4</v>
      </c>
      <c r="D39" s="73">
        <f t="shared" si="3"/>
        <v>31.739579999999997</v>
      </c>
      <c r="E39" s="38">
        <v>2</v>
      </c>
      <c r="F39" s="73">
        <f t="shared" si="4"/>
        <v>117.85941150000001</v>
      </c>
      <c r="G39" s="73">
        <f t="shared" si="1"/>
        <v>39.211826206049999</v>
      </c>
      <c r="I39" s="5"/>
    </row>
    <row r="40" spans="1:14" ht="15" customHeight="1" x14ac:dyDescent="0.2">
      <c r="A40" s="39">
        <v>1</v>
      </c>
      <c r="B40" s="75">
        <f t="shared" si="2"/>
        <v>45.330541099333331</v>
      </c>
      <c r="C40" s="76">
        <f t="shared" si="0"/>
        <v>47.7</v>
      </c>
      <c r="D40" s="75">
        <f t="shared" si="3"/>
        <v>15.869789999999998</v>
      </c>
      <c r="E40" s="39">
        <v>1</v>
      </c>
      <c r="F40" s="75">
        <f t="shared" si="4"/>
        <v>58.929705750000004</v>
      </c>
      <c r="G40" s="75">
        <f t="shared" si="1"/>
        <v>19.605913103024999</v>
      </c>
      <c r="I40" s="5"/>
    </row>
    <row r="42" spans="1:14" hidden="1" x14ac:dyDescent="0.2"/>
    <row r="43" spans="1:14" hidden="1" x14ac:dyDescent="0.2"/>
    <row r="44" spans="1:14" hidden="1" x14ac:dyDescent="0.2"/>
    <row r="45" spans="1:14" hidden="1" x14ac:dyDescent="0.2"/>
    <row r="46" spans="1:14" ht="15" hidden="1" thickBot="1" x14ac:dyDescent="0.25">
      <c r="C46" s="211" t="s">
        <v>93</v>
      </c>
    </row>
    <row r="47" spans="1:14" s="21" customFormat="1" ht="31.5" hidden="1" customHeight="1" thickBot="1" x14ac:dyDescent="0.25">
      <c r="A47" s="190"/>
      <c r="B47" s="206" t="s">
        <v>14</v>
      </c>
      <c r="C47" s="207">
        <v>11.13</v>
      </c>
      <c r="D47" s="191"/>
      <c r="E47" s="192"/>
      <c r="F47" s="191"/>
      <c r="G47" s="191"/>
      <c r="I47" s="193"/>
    </row>
    <row r="48" spans="1:14" hidden="1" x14ac:dyDescent="0.2"/>
    <row r="49" hidden="1" x14ac:dyDescent="0.2"/>
    <row r="50" hidden="1" x14ac:dyDescent="0.2"/>
  </sheetData>
  <sheetProtection algorithmName="SHA-512" hashValue="OWGhCMs1gR7Q6qlM3oTTCPNzNAMgFosMPYVqGje0bsiqZZNbZRzEzym2LGxuy8x3xextOURWWPxCi1w6ZF+VUA==" saltValue="Ifdn+K2Rj5mDIQ2/CebbsQ==" spinCount="100000" sheet="1" objects="1" scenarios="1"/>
  <protectedRanges>
    <protectedRange sqref="M36" name="CALCULO RC"/>
    <protectedRange sqref="L23" name="DED_1"/>
    <protectedRange sqref="L8" name="RET TC_2"/>
    <protectedRange sqref="L26" name="RET TP_1"/>
  </protectedRanges>
  <mergeCells count="35">
    <mergeCell ref="A1:G1"/>
    <mergeCell ref="B2:D2"/>
    <mergeCell ref="F2:G2"/>
    <mergeCell ref="I2:K2"/>
    <mergeCell ref="L2:M2"/>
    <mergeCell ref="I4:I5"/>
    <mergeCell ref="J4:J5"/>
    <mergeCell ref="K4:K5"/>
    <mergeCell ref="L4:L5"/>
    <mergeCell ref="M4:M5"/>
    <mergeCell ref="I8:K9"/>
    <mergeCell ref="L8:L9"/>
    <mergeCell ref="I11:L12"/>
    <mergeCell ref="I14:I15"/>
    <mergeCell ref="J14:J15"/>
    <mergeCell ref="K14:K15"/>
    <mergeCell ref="L14:L15"/>
    <mergeCell ref="I16:I17"/>
    <mergeCell ref="J16:J17"/>
    <mergeCell ref="K16:K17"/>
    <mergeCell ref="L16:L17"/>
    <mergeCell ref="I18:J18"/>
    <mergeCell ref="I20:N21"/>
    <mergeCell ref="I23:K24"/>
    <mergeCell ref="L23:L24"/>
    <mergeCell ref="I26:K27"/>
    <mergeCell ref="L26:L27"/>
    <mergeCell ref="I34:K34"/>
    <mergeCell ref="I36:L37"/>
    <mergeCell ref="M36:M37"/>
    <mergeCell ref="I29:L30"/>
    <mergeCell ref="I32:I33"/>
    <mergeCell ref="J32:J33"/>
    <mergeCell ref="K32:K33"/>
    <mergeCell ref="L32:L33"/>
  </mergeCells>
  <hyperlinks>
    <hyperlink ref="M36:M37" r:id="rId1" display="CALCULO RC" xr:uid="{00000000-0004-0000-03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6"/>
  <sheetViews>
    <sheetView zoomScaleNormal="100" workbookViewId="0">
      <selection activeCell="L6" sqref="L6"/>
    </sheetView>
  </sheetViews>
  <sheetFormatPr baseColWidth="10" defaultColWidth="11.5703125" defaultRowHeight="14.25" x14ac:dyDescent="0.2"/>
  <cols>
    <col min="1" max="1" width="18.42578125" style="4" customWidth="1"/>
    <col min="2" max="2" width="24.7109375" style="4" customWidth="1"/>
    <col min="3" max="3" width="0.140625" style="6" hidden="1" customWidth="1"/>
    <col min="4" max="4" width="18.42578125" style="4" customWidth="1"/>
    <col min="5" max="5" width="18.42578125" style="5" customWidth="1"/>
    <col min="6" max="6" width="24.7109375" style="4" customWidth="1"/>
    <col min="7" max="7" width="18.42578125" style="4" customWidth="1"/>
    <col min="8" max="8" width="11.5703125" style="5"/>
    <col min="9" max="9" width="17.7109375" style="7" customWidth="1"/>
    <col min="10" max="10" width="18.7109375" style="5" customWidth="1"/>
    <col min="11" max="11" width="19.42578125" style="5" customWidth="1"/>
    <col min="12" max="12" width="16" style="5" customWidth="1"/>
    <col min="13" max="13" width="16.5703125" style="5" customWidth="1"/>
    <col min="14" max="14" width="13.28515625" style="5" bestFit="1" customWidth="1"/>
    <col min="15" max="16384" width="11.5703125" style="5"/>
  </cols>
  <sheetData>
    <row r="1" spans="1:14" s="8" customFormat="1" ht="65.25" customHeight="1" x14ac:dyDescent="0.2">
      <c r="A1" s="222" t="s">
        <v>114</v>
      </c>
      <c r="B1" s="223"/>
      <c r="C1" s="223"/>
      <c r="D1" s="223"/>
      <c r="E1" s="223"/>
      <c r="F1" s="223"/>
      <c r="G1" s="223"/>
      <c r="K1" s="19"/>
    </row>
    <row r="2" spans="1:14" s="36" customFormat="1" ht="24.75" customHeight="1" x14ac:dyDescent="0.2">
      <c r="A2" s="44"/>
      <c r="B2" s="302" t="s">
        <v>47</v>
      </c>
      <c r="C2" s="302"/>
      <c r="D2" s="303"/>
      <c r="E2" s="42"/>
      <c r="F2" s="302" t="s">
        <v>48</v>
      </c>
      <c r="G2" s="303"/>
      <c r="I2" s="224" t="s">
        <v>50</v>
      </c>
      <c r="J2" s="224"/>
      <c r="K2" s="224"/>
      <c r="L2" s="224" t="s">
        <v>54</v>
      </c>
      <c r="M2" s="224"/>
    </row>
    <row r="3" spans="1:14" s="27" customFormat="1" ht="38.25" x14ac:dyDescent="0.2">
      <c r="A3" s="43" t="s">
        <v>45</v>
      </c>
      <c r="B3" s="65" t="s">
        <v>46</v>
      </c>
      <c r="C3" s="66" t="s">
        <v>15</v>
      </c>
      <c r="D3" s="67" t="s">
        <v>108</v>
      </c>
      <c r="E3" s="40" t="s">
        <v>45</v>
      </c>
      <c r="F3" s="65" t="s">
        <v>46</v>
      </c>
      <c r="G3" s="67" t="s">
        <v>109</v>
      </c>
      <c r="I3" s="124" t="s">
        <v>49</v>
      </c>
      <c r="J3" s="124" t="s">
        <v>60</v>
      </c>
      <c r="K3" s="124" t="s">
        <v>61</v>
      </c>
      <c r="L3" s="125" t="s">
        <v>52</v>
      </c>
      <c r="M3" s="124" t="s">
        <v>53</v>
      </c>
    </row>
    <row r="4" spans="1:14" ht="15" customHeight="1" x14ac:dyDescent="0.2">
      <c r="A4" s="37">
        <v>37.5</v>
      </c>
      <c r="B4" s="71">
        <f>PARAMETROS!B6</f>
        <v>1599.9010410000001</v>
      </c>
      <c r="C4" s="72"/>
      <c r="D4" s="71"/>
      <c r="E4" s="37">
        <v>37.5</v>
      </c>
      <c r="F4" s="71">
        <f>PARAMETROS!C6</f>
        <v>2079.8713533</v>
      </c>
      <c r="G4" s="71">
        <f>IF(F4&gt;$K$4,$K$4*$K$18%,F4*$K$18%)</f>
        <v>691.97319924290991</v>
      </c>
      <c r="I4" s="225">
        <v>1</v>
      </c>
      <c r="J4" s="274">
        <v>1847.4</v>
      </c>
      <c r="K4" s="275">
        <v>4909.5</v>
      </c>
      <c r="L4" s="276">
        <v>1323</v>
      </c>
      <c r="M4" s="275">
        <v>4909.5</v>
      </c>
      <c r="N4" s="8"/>
    </row>
    <row r="5" spans="1:14" ht="15" customHeight="1" x14ac:dyDescent="0.2">
      <c r="A5" s="38">
        <v>36</v>
      </c>
      <c r="B5" s="73">
        <f>PRODUCT(B$4,A5)/A$4</f>
        <v>1535.9049993600001</v>
      </c>
      <c r="C5" s="74">
        <f t="shared" ref="C5:C40" si="0">(A5/$A$4*7.5*5)/7*30*$C$43</f>
        <v>1717.2000000000003</v>
      </c>
      <c r="D5" s="73">
        <f>IF(B5&lt;C5,C5*$K$18%,B5*$K$18%)</f>
        <v>571.31244000000004</v>
      </c>
      <c r="E5" s="38">
        <v>36</v>
      </c>
      <c r="F5" s="73">
        <f>PRODUCT(F$4,E5)/E$4</f>
        <v>1996.6764991680002</v>
      </c>
      <c r="G5" s="73">
        <f t="shared" ref="G5:G40" si="1">IF(F5&gt;$K$4,$K$4*$K$18%,F5*$K$18%)</f>
        <v>664.29427127319354</v>
      </c>
      <c r="I5" s="225"/>
      <c r="J5" s="274"/>
      <c r="K5" s="275"/>
      <c r="L5" s="276"/>
      <c r="M5" s="275"/>
      <c r="N5" s="8"/>
    </row>
    <row r="6" spans="1:14" ht="15" customHeight="1" x14ac:dyDescent="0.2">
      <c r="A6" s="38">
        <v>35</v>
      </c>
      <c r="B6" s="73">
        <f t="shared" ref="B6:B40" si="2">PRODUCT(B$4,A6)/A$4</f>
        <v>1493.2409716</v>
      </c>
      <c r="C6" s="74">
        <f t="shared" si="0"/>
        <v>1669.5000000000002</v>
      </c>
      <c r="D6" s="73">
        <f t="shared" ref="D6:D40" si="3">IF(B6&lt;C6,C6*$K$18%,B6*$K$18%)</f>
        <v>555.44264999999996</v>
      </c>
      <c r="E6" s="38">
        <v>35</v>
      </c>
      <c r="F6" s="73">
        <f t="shared" ref="F6:F40" si="4">PRODUCT(F$4,E6)/E$4</f>
        <v>1941.2132630800002</v>
      </c>
      <c r="G6" s="73">
        <f t="shared" si="1"/>
        <v>645.84165262671593</v>
      </c>
      <c r="I6" s="35"/>
      <c r="J6" s="8"/>
      <c r="K6" s="8"/>
      <c r="L6" s="115"/>
      <c r="M6" s="8"/>
      <c r="N6" s="8"/>
    </row>
    <row r="7" spans="1:14" ht="15" customHeight="1" thickBot="1" x14ac:dyDescent="0.25">
      <c r="A7" s="38">
        <v>34</v>
      </c>
      <c r="B7" s="73">
        <f t="shared" si="2"/>
        <v>1450.57694384</v>
      </c>
      <c r="C7" s="74">
        <f t="shared" si="0"/>
        <v>1621.8</v>
      </c>
      <c r="D7" s="73">
        <f t="shared" si="3"/>
        <v>539.57285999999988</v>
      </c>
      <c r="E7" s="38">
        <v>34</v>
      </c>
      <c r="F7" s="73">
        <f t="shared" si="4"/>
        <v>1885.7500269919999</v>
      </c>
      <c r="G7" s="73">
        <f t="shared" si="1"/>
        <v>627.38903398023831</v>
      </c>
      <c r="I7" s="35"/>
      <c r="J7" s="19"/>
      <c r="K7" s="8"/>
      <c r="L7" s="115"/>
      <c r="M7" s="8"/>
      <c r="N7" s="8"/>
    </row>
    <row r="8" spans="1:14" ht="15" customHeight="1" x14ac:dyDescent="0.2">
      <c r="A8" s="38">
        <v>33</v>
      </c>
      <c r="B8" s="73">
        <f t="shared" si="2"/>
        <v>1407.9129160800001</v>
      </c>
      <c r="C8" s="74">
        <f t="shared" si="0"/>
        <v>1574.1000000000004</v>
      </c>
      <c r="D8" s="73">
        <f t="shared" si="3"/>
        <v>523.70307000000003</v>
      </c>
      <c r="E8" s="38">
        <v>33</v>
      </c>
      <c r="F8" s="73">
        <f t="shared" si="4"/>
        <v>1830.2867909039999</v>
      </c>
      <c r="G8" s="73">
        <f t="shared" si="1"/>
        <v>608.93641533376069</v>
      </c>
      <c r="I8" s="236" t="s">
        <v>87</v>
      </c>
      <c r="J8" s="236"/>
      <c r="K8" s="237"/>
      <c r="L8" s="234">
        <v>0</v>
      </c>
      <c r="M8" s="8"/>
      <c r="N8" s="152"/>
    </row>
    <row r="9" spans="1:14" ht="15" customHeight="1" thickBot="1" x14ac:dyDescent="0.25">
      <c r="A9" s="38">
        <v>32</v>
      </c>
      <c r="B9" s="73">
        <f t="shared" si="2"/>
        <v>1365.2488883200001</v>
      </c>
      <c r="C9" s="74">
        <f t="shared" si="0"/>
        <v>1526.4</v>
      </c>
      <c r="D9" s="73">
        <f t="shared" si="3"/>
        <v>507.83327999999995</v>
      </c>
      <c r="E9" s="38">
        <v>32</v>
      </c>
      <c r="F9" s="73">
        <f t="shared" si="4"/>
        <v>1774.8235548160001</v>
      </c>
      <c r="G9" s="73">
        <f t="shared" si="1"/>
        <v>590.48379668728307</v>
      </c>
      <c r="I9" s="236"/>
      <c r="J9" s="236"/>
      <c r="K9" s="237"/>
      <c r="L9" s="235"/>
      <c r="M9" s="8"/>
      <c r="N9" s="8"/>
    </row>
    <row r="10" spans="1:14" ht="15" customHeight="1" thickBot="1" x14ac:dyDescent="0.25">
      <c r="A10" s="38">
        <v>31</v>
      </c>
      <c r="B10" s="73">
        <f t="shared" si="2"/>
        <v>1322.5848605600002</v>
      </c>
      <c r="C10" s="74">
        <f t="shared" si="0"/>
        <v>1478.7</v>
      </c>
      <c r="D10" s="73">
        <f t="shared" si="3"/>
        <v>491.96348999999992</v>
      </c>
      <c r="E10" s="38">
        <v>31</v>
      </c>
      <c r="F10" s="73">
        <f t="shared" si="4"/>
        <v>1719.360318728</v>
      </c>
      <c r="G10" s="73">
        <f t="shared" si="1"/>
        <v>572.03117804080546</v>
      </c>
      <c r="I10" s="120"/>
      <c r="J10" s="121"/>
      <c r="K10" s="122"/>
      <c r="L10" s="123"/>
      <c r="M10" s="8"/>
      <c r="N10" s="8"/>
    </row>
    <row r="11" spans="1:14" ht="15" customHeight="1" x14ac:dyDescent="0.2">
      <c r="A11" s="38">
        <v>30</v>
      </c>
      <c r="B11" s="73">
        <f t="shared" si="2"/>
        <v>1279.9208328</v>
      </c>
      <c r="C11" s="74">
        <f t="shared" si="0"/>
        <v>1431</v>
      </c>
      <c r="D11" s="73">
        <f t="shared" si="3"/>
        <v>476.0936999999999</v>
      </c>
      <c r="E11" s="38">
        <v>30</v>
      </c>
      <c r="F11" s="73">
        <f t="shared" si="4"/>
        <v>1663.89708264</v>
      </c>
      <c r="G11" s="73">
        <f t="shared" si="1"/>
        <v>553.57855939432795</v>
      </c>
      <c r="I11" s="238" t="s">
        <v>62</v>
      </c>
      <c r="J11" s="239"/>
      <c r="K11" s="239"/>
      <c r="L11" s="240"/>
      <c r="M11" s="8"/>
      <c r="N11" s="8"/>
    </row>
    <row r="12" spans="1:14" ht="15" customHeight="1" thickBot="1" x14ac:dyDescent="0.25">
      <c r="A12" s="38">
        <v>29</v>
      </c>
      <c r="B12" s="73">
        <f t="shared" si="2"/>
        <v>1237.25680504</v>
      </c>
      <c r="C12" s="74">
        <f t="shared" si="0"/>
        <v>1383.3000000000002</v>
      </c>
      <c r="D12" s="73">
        <f t="shared" si="3"/>
        <v>460.22390999999999</v>
      </c>
      <c r="E12" s="38">
        <v>29</v>
      </c>
      <c r="F12" s="73">
        <f t="shared" si="4"/>
        <v>1608.433846552</v>
      </c>
      <c r="G12" s="73">
        <f t="shared" si="1"/>
        <v>535.12594074785034</v>
      </c>
      <c r="I12" s="241"/>
      <c r="J12" s="242"/>
      <c r="K12" s="242"/>
      <c r="L12" s="243"/>
      <c r="M12" s="8"/>
      <c r="N12" s="8"/>
    </row>
    <row r="13" spans="1:14" ht="15" customHeight="1" thickBot="1" x14ac:dyDescent="0.25">
      <c r="A13" s="38">
        <v>28</v>
      </c>
      <c r="B13" s="73">
        <f t="shared" si="2"/>
        <v>1194.5927772800001</v>
      </c>
      <c r="C13" s="74">
        <f t="shared" si="0"/>
        <v>1335.6000000000004</v>
      </c>
      <c r="D13" s="73">
        <f t="shared" si="3"/>
        <v>444.35412000000002</v>
      </c>
      <c r="E13" s="38">
        <v>28</v>
      </c>
      <c r="F13" s="73">
        <f t="shared" si="4"/>
        <v>1552.9706104639999</v>
      </c>
      <c r="G13" s="73">
        <f t="shared" si="1"/>
        <v>516.67332210137272</v>
      </c>
      <c r="I13" s="117"/>
      <c r="J13" s="118" t="s">
        <v>55</v>
      </c>
      <c r="K13" s="133" t="s">
        <v>56</v>
      </c>
      <c r="L13" s="119" t="s">
        <v>57</v>
      </c>
      <c r="M13" s="8"/>
      <c r="N13" s="8"/>
    </row>
    <row r="14" spans="1:14" ht="15" customHeight="1" x14ac:dyDescent="0.2">
      <c r="A14" s="38">
        <v>27</v>
      </c>
      <c r="B14" s="73">
        <f t="shared" si="2"/>
        <v>1151.9287495200001</v>
      </c>
      <c r="C14" s="74">
        <f t="shared" si="0"/>
        <v>1287.9000000000001</v>
      </c>
      <c r="D14" s="73">
        <f t="shared" si="3"/>
        <v>428.48432999999994</v>
      </c>
      <c r="E14" s="38">
        <v>27</v>
      </c>
      <c r="F14" s="73">
        <f t="shared" si="4"/>
        <v>1497.5073743759999</v>
      </c>
      <c r="G14" s="73">
        <f t="shared" si="1"/>
        <v>498.2207034548951</v>
      </c>
      <c r="I14" s="244" t="s">
        <v>58</v>
      </c>
      <c r="J14" s="246">
        <f>IF(L8&gt;=J4,L8,J4)</f>
        <v>1847.4</v>
      </c>
      <c r="K14" s="248">
        <v>24.27</v>
      </c>
      <c r="L14" s="254">
        <f>J14*K14%</f>
        <v>448.36398000000003</v>
      </c>
      <c r="M14" s="8"/>
      <c r="N14" s="8"/>
    </row>
    <row r="15" spans="1:14" ht="15" customHeight="1" thickBot="1" x14ac:dyDescent="0.25">
      <c r="A15" s="38">
        <v>26</v>
      </c>
      <c r="B15" s="73">
        <f t="shared" si="2"/>
        <v>1109.2647217600002</v>
      </c>
      <c r="C15" s="74">
        <f t="shared" si="0"/>
        <v>1240.2</v>
      </c>
      <c r="D15" s="73">
        <f t="shared" si="3"/>
        <v>412.61453999999992</v>
      </c>
      <c r="E15" s="38">
        <v>26</v>
      </c>
      <c r="F15" s="73">
        <f t="shared" si="4"/>
        <v>1442.0441382880001</v>
      </c>
      <c r="G15" s="73">
        <f t="shared" si="1"/>
        <v>479.76808480841754</v>
      </c>
      <c r="I15" s="245"/>
      <c r="J15" s="247"/>
      <c r="K15" s="249"/>
      <c r="L15" s="255"/>
      <c r="M15" s="8"/>
      <c r="N15" s="8"/>
    </row>
    <row r="16" spans="1:14" ht="15" customHeight="1" x14ac:dyDescent="0.2">
      <c r="A16" s="38">
        <v>25</v>
      </c>
      <c r="B16" s="73">
        <f t="shared" si="2"/>
        <v>1066.600694</v>
      </c>
      <c r="C16" s="74">
        <f t="shared" si="0"/>
        <v>1192.5000000000002</v>
      </c>
      <c r="D16" s="73">
        <f t="shared" si="3"/>
        <v>396.74475000000001</v>
      </c>
      <c r="E16" s="38">
        <v>25</v>
      </c>
      <c r="F16" s="73">
        <f t="shared" si="4"/>
        <v>1386.5809021999999</v>
      </c>
      <c r="G16" s="73">
        <f t="shared" si="1"/>
        <v>461.31546616193987</v>
      </c>
      <c r="I16" s="252" t="s">
        <v>59</v>
      </c>
      <c r="J16" s="246">
        <f>IF(L8&gt;=L4,L8,L4)</f>
        <v>1323</v>
      </c>
      <c r="K16" s="248">
        <v>9</v>
      </c>
      <c r="L16" s="250">
        <f>J16*K16%</f>
        <v>119.07</v>
      </c>
      <c r="M16" s="8"/>
      <c r="N16" s="8"/>
    </row>
    <row r="17" spans="1:14" ht="15" customHeight="1" thickBot="1" x14ac:dyDescent="0.25">
      <c r="A17" s="38">
        <v>24</v>
      </c>
      <c r="B17" s="73">
        <f t="shared" si="2"/>
        <v>1023.93666624</v>
      </c>
      <c r="C17" s="74">
        <f t="shared" si="0"/>
        <v>1144.8</v>
      </c>
      <c r="D17" s="73">
        <f t="shared" si="3"/>
        <v>380.87495999999993</v>
      </c>
      <c r="E17" s="38">
        <v>24</v>
      </c>
      <c r="F17" s="73">
        <f t="shared" si="4"/>
        <v>1331.1176661120001</v>
      </c>
      <c r="G17" s="73">
        <f t="shared" si="1"/>
        <v>442.86284751546236</v>
      </c>
      <c r="I17" s="253"/>
      <c r="J17" s="247"/>
      <c r="K17" s="249">
        <v>0.2</v>
      </c>
      <c r="L17" s="251"/>
      <c r="M17" s="8"/>
      <c r="N17" s="8"/>
    </row>
    <row r="18" spans="1:14" ht="15" customHeight="1" thickBot="1" x14ac:dyDescent="0.25">
      <c r="A18" s="38">
        <v>23</v>
      </c>
      <c r="B18" s="73">
        <f t="shared" si="2"/>
        <v>981.27263848000007</v>
      </c>
      <c r="C18" s="74">
        <f t="shared" si="0"/>
        <v>1097.1000000000001</v>
      </c>
      <c r="D18" s="73">
        <f t="shared" si="3"/>
        <v>365.00516999999996</v>
      </c>
      <c r="E18" s="38">
        <v>23</v>
      </c>
      <c r="F18" s="73">
        <f t="shared" si="4"/>
        <v>1275.654430024</v>
      </c>
      <c r="G18" s="73">
        <f t="shared" si="1"/>
        <v>424.41022886898475</v>
      </c>
      <c r="I18" s="232" t="s">
        <v>63</v>
      </c>
      <c r="J18" s="233"/>
      <c r="K18" s="134">
        <f>(K14+K16)</f>
        <v>33.269999999999996</v>
      </c>
      <c r="L18" s="130">
        <f>SUM(L14:L17)</f>
        <v>567.43398000000002</v>
      </c>
      <c r="M18" s="8"/>
      <c r="N18" s="8"/>
    </row>
    <row r="19" spans="1:14" ht="15" customHeight="1" x14ac:dyDescent="0.2">
      <c r="A19" s="38">
        <v>22</v>
      </c>
      <c r="B19" s="73">
        <f t="shared" si="2"/>
        <v>938.60861072</v>
      </c>
      <c r="C19" s="74">
        <f t="shared" si="0"/>
        <v>1049.4000000000001</v>
      </c>
      <c r="D19" s="73">
        <f t="shared" si="3"/>
        <v>349.13537999999994</v>
      </c>
      <c r="E19" s="38">
        <v>22</v>
      </c>
      <c r="F19" s="73">
        <f t="shared" si="4"/>
        <v>1220.191193936</v>
      </c>
      <c r="G19" s="73">
        <f t="shared" si="1"/>
        <v>405.95761022250713</v>
      </c>
      <c r="I19" s="126"/>
      <c r="J19" s="127"/>
      <c r="K19" s="128"/>
      <c r="L19" s="129"/>
      <c r="M19" s="8"/>
      <c r="N19" s="8"/>
    </row>
    <row r="20" spans="1:14" ht="15" customHeight="1" x14ac:dyDescent="0.2">
      <c r="A20" s="38">
        <v>21</v>
      </c>
      <c r="B20" s="73">
        <f t="shared" si="2"/>
        <v>895.94458296000005</v>
      </c>
      <c r="C20" s="74">
        <f t="shared" si="0"/>
        <v>1001.7</v>
      </c>
      <c r="D20" s="73">
        <f t="shared" si="3"/>
        <v>333.26558999999997</v>
      </c>
      <c r="E20" s="38">
        <v>21</v>
      </c>
      <c r="F20" s="73">
        <f t="shared" si="4"/>
        <v>1164.727957848</v>
      </c>
      <c r="G20" s="73">
        <f t="shared" si="1"/>
        <v>387.50499157602951</v>
      </c>
      <c r="I20" s="277" t="s">
        <v>78</v>
      </c>
      <c r="J20" s="277"/>
      <c r="K20" s="277"/>
      <c r="L20" s="277"/>
      <c r="M20" s="277"/>
      <c r="N20" s="277"/>
    </row>
    <row r="21" spans="1:14" ht="15" customHeight="1" x14ac:dyDescent="0.2">
      <c r="A21" s="38">
        <v>20</v>
      </c>
      <c r="B21" s="73">
        <f t="shared" si="2"/>
        <v>853.28055520000009</v>
      </c>
      <c r="C21" s="74">
        <f t="shared" si="0"/>
        <v>954.00000000000011</v>
      </c>
      <c r="D21" s="73">
        <f t="shared" si="3"/>
        <v>317.39580000000001</v>
      </c>
      <c r="E21" s="38">
        <v>20</v>
      </c>
      <c r="F21" s="73">
        <f t="shared" si="4"/>
        <v>1109.2647217600002</v>
      </c>
      <c r="G21" s="73">
        <f t="shared" si="1"/>
        <v>369.05237292955201</v>
      </c>
      <c r="I21" s="277"/>
      <c r="J21" s="277"/>
      <c r="K21" s="277"/>
      <c r="L21" s="277"/>
      <c r="M21" s="277"/>
      <c r="N21" s="277"/>
    </row>
    <row r="22" spans="1:14" ht="15" customHeight="1" thickBot="1" x14ac:dyDescent="0.25">
      <c r="A22" s="38">
        <v>19</v>
      </c>
      <c r="B22" s="73">
        <f t="shared" si="2"/>
        <v>810.61652744000003</v>
      </c>
      <c r="C22" s="74">
        <f t="shared" si="0"/>
        <v>906.30000000000007</v>
      </c>
      <c r="D22" s="73">
        <f t="shared" si="3"/>
        <v>301.52600999999999</v>
      </c>
      <c r="E22" s="38">
        <v>19</v>
      </c>
      <c r="F22" s="73">
        <f t="shared" si="4"/>
        <v>1053.8014856719999</v>
      </c>
      <c r="G22" s="73">
        <f t="shared" si="1"/>
        <v>350.59975428307428</v>
      </c>
      <c r="I22" s="35"/>
      <c r="J22" s="19"/>
      <c r="K22" s="8"/>
      <c r="L22" s="115"/>
      <c r="M22" s="8"/>
      <c r="N22" s="8"/>
    </row>
    <row r="23" spans="1:14" ht="15" customHeight="1" x14ac:dyDescent="0.2">
      <c r="A23" s="38">
        <v>18</v>
      </c>
      <c r="B23" s="73">
        <f t="shared" si="2"/>
        <v>767.95249968000007</v>
      </c>
      <c r="C23" s="74">
        <f t="shared" si="0"/>
        <v>858.60000000000014</v>
      </c>
      <c r="D23" s="73">
        <f t="shared" si="3"/>
        <v>285.65622000000002</v>
      </c>
      <c r="E23" s="38">
        <v>18</v>
      </c>
      <c r="F23" s="73">
        <f t="shared" si="4"/>
        <v>998.3382495840001</v>
      </c>
      <c r="G23" s="73">
        <f t="shared" si="1"/>
        <v>332.14713563659677</v>
      </c>
      <c r="I23" s="236" t="s">
        <v>64</v>
      </c>
      <c r="J23" s="236"/>
      <c r="K23" s="237"/>
      <c r="L23" s="256">
        <v>0</v>
      </c>
      <c r="M23" s="8"/>
      <c r="N23" s="8"/>
    </row>
    <row r="24" spans="1:14" ht="15" customHeight="1" thickBot="1" x14ac:dyDescent="0.25">
      <c r="A24" s="38">
        <v>17</v>
      </c>
      <c r="B24" s="73">
        <f t="shared" si="2"/>
        <v>725.28847192000001</v>
      </c>
      <c r="C24" s="74">
        <f t="shared" si="0"/>
        <v>810.9</v>
      </c>
      <c r="D24" s="73">
        <f t="shared" si="3"/>
        <v>269.78642999999994</v>
      </c>
      <c r="E24" s="38">
        <v>17</v>
      </c>
      <c r="F24" s="73">
        <f t="shared" si="4"/>
        <v>942.87501349599995</v>
      </c>
      <c r="G24" s="73">
        <f t="shared" si="1"/>
        <v>313.69451699011915</v>
      </c>
      <c r="I24" s="236"/>
      <c r="J24" s="236"/>
      <c r="K24" s="237"/>
      <c r="L24" s="257"/>
      <c r="M24" s="8"/>
      <c r="N24" s="8"/>
    </row>
    <row r="25" spans="1:14" ht="15" customHeight="1" thickBot="1" x14ac:dyDescent="0.25">
      <c r="A25" s="38">
        <v>16</v>
      </c>
      <c r="B25" s="73">
        <f t="shared" si="2"/>
        <v>682.62444416000005</v>
      </c>
      <c r="C25" s="74">
        <f t="shared" si="0"/>
        <v>763.2</v>
      </c>
      <c r="D25" s="73">
        <f t="shared" si="3"/>
        <v>253.91663999999997</v>
      </c>
      <c r="E25" s="38">
        <v>16</v>
      </c>
      <c r="F25" s="73">
        <f t="shared" si="4"/>
        <v>887.41177740800003</v>
      </c>
      <c r="G25" s="73">
        <f t="shared" si="1"/>
        <v>295.24189834364154</v>
      </c>
      <c r="I25" s="35"/>
      <c r="J25" s="19"/>
      <c r="K25" s="8"/>
      <c r="L25" s="115"/>
      <c r="M25" s="8"/>
      <c r="N25" s="8"/>
    </row>
    <row r="26" spans="1:14" ht="15" customHeight="1" x14ac:dyDescent="0.2">
      <c r="A26" s="38">
        <v>15</v>
      </c>
      <c r="B26" s="73">
        <f t="shared" si="2"/>
        <v>639.96041639999999</v>
      </c>
      <c r="C26" s="74">
        <f t="shared" si="0"/>
        <v>715.5</v>
      </c>
      <c r="D26" s="73">
        <f t="shared" si="3"/>
        <v>238.04684999999995</v>
      </c>
      <c r="E26" s="38">
        <v>15</v>
      </c>
      <c r="F26" s="73">
        <f t="shared" si="4"/>
        <v>831.94854132</v>
      </c>
      <c r="G26" s="73">
        <f t="shared" si="1"/>
        <v>276.78927969716398</v>
      </c>
      <c r="I26" s="236" t="s">
        <v>68</v>
      </c>
      <c r="J26" s="236"/>
      <c r="K26" s="237"/>
      <c r="L26" s="234">
        <v>0</v>
      </c>
      <c r="M26" s="8"/>
      <c r="N26" s="8"/>
    </row>
    <row r="27" spans="1:14" ht="15" customHeight="1" thickBot="1" x14ac:dyDescent="0.25">
      <c r="A27" s="38">
        <v>14</v>
      </c>
      <c r="B27" s="73">
        <f t="shared" si="2"/>
        <v>597.29638864000003</v>
      </c>
      <c r="C27" s="74">
        <f t="shared" si="0"/>
        <v>667.80000000000018</v>
      </c>
      <c r="D27" s="73">
        <f t="shared" si="3"/>
        <v>222.17706000000001</v>
      </c>
      <c r="E27" s="38">
        <v>14</v>
      </c>
      <c r="F27" s="73">
        <f t="shared" si="4"/>
        <v>776.48530523199997</v>
      </c>
      <c r="G27" s="73">
        <f t="shared" si="1"/>
        <v>258.33666105068636</v>
      </c>
      <c r="I27" s="236"/>
      <c r="J27" s="236"/>
      <c r="K27" s="237"/>
      <c r="L27" s="235"/>
      <c r="M27" s="8"/>
      <c r="N27" s="8"/>
    </row>
    <row r="28" spans="1:14" ht="15" customHeight="1" thickBot="1" x14ac:dyDescent="0.25">
      <c r="A28" s="38">
        <v>13</v>
      </c>
      <c r="B28" s="73">
        <f t="shared" si="2"/>
        <v>554.63236088000008</v>
      </c>
      <c r="C28" s="74">
        <f t="shared" si="0"/>
        <v>620.1</v>
      </c>
      <c r="D28" s="73">
        <f t="shared" si="3"/>
        <v>206.30726999999996</v>
      </c>
      <c r="E28" s="38">
        <v>13</v>
      </c>
      <c r="F28" s="73">
        <f t="shared" si="4"/>
        <v>721.02206914400006</v>
      </c>
      <c r="G28" s="73">
        <f t="shared" si="1"/>
        <v>239.88404240420877</v>
      </c>
      <c r="I28" s="35"/>
      <c r="J28" s="19"/>
      <c r="K28" s="8"/>
      <c r="L28" s="115"/>
      <c r="M28" s="8"/>
      <c r="N28" s="8"/>
    </row>
    <row r="29" spans="1:14" ht="15" customHeight="1" x14ac:dyDescent="0.2">
      <c r="A29" s="38">
        <v>12</v>
      </c>
      <c r="B29" s="73">
        <f t="shared" si="2"/>
        <v>511.96833312000001</v>
      </c>
      <c r="C29" s="74">
        <f t="shared" si="0"/>
        <v>572.4</v>
      </c>
      <c r="D29" s="73">
        <f t="shared" si="3"/>
        <v>190.43747999999997</v>
      </c>
      <c r="E29" s="38">
        <v>12</v>
      </c>
      <c r="F29" s="73">
        <f t="shared" si="4"/>
        <v>665.55883305600003</v>
      </c>
      <c r="G29" s="73">
        <f t="shared" si="1"/>
        <v>221.43142375773118</v>
      </c>
      <c r="I29" s="238" t="s">
        <v>65</v>
      </c>
      <c r="J29" s="239"/>
      <c r="K29" s="239"/>
      <c r="L29" s="240"/>
      <c r="M29" s="8"/>
      <c r="N29" s="8"/>
    </row>
    <row r="30" spans="1:14" ht="15" customHeight="1" thickBot="1" x14ac:dyDescent="0.25">
      <c r="A30" s="38">
        <v>11</v>
      </c>
      <c r="B30" s="73">
        <f t="shared" si="2"/>
        <v>469.30430536</v>
      </c>
      <c r="C30" s="74">
        <f t="shared" si="0"/>
        <v>524.70000000000005</v>
      </c>
      <c r="D30" s="73">
        <f t="shared" si="3"/>
        <v>174.56768999999997</v>
      </c>
      <c r="E30" s="38">
        <v>11</v>
      </c>
      <c r="F30" s="73">
        <f t="shared" si="4"/>
        <v>610.095596968</v>
      </c>
      <c r="G30" s="73">
        <f t="shared" si="1"/>
        <v>202.97880511125356</v>
      </c>
      <c r="I30" s="241"/>
      <c r="J30" s="242"/>
      <c r="K30" s="242"/>
      <c r="L30" s="243"/>
      <c r="M30" s="8"/>
      <c r="N30" s="8"/>
    </row>
    <row r="31" spans="1:14" ht="15" customHeight="1" thickBot="1" x14ac:dyDescent="0.25">
      <c r="A31" s="38">
        <v>10</v>
      </c>
      <c r="B31" s="73">
        <f t="shared" si="2"/>
        <v>426.64027760000005</v>
      </c>
      <c r="C31" s="74">
        <f t="shared" si="0"/>
        <v>477.00000000000006</v>
      </c>
      <c r="D31" s="73">
        <f t="shared" si="3"/>
        <v>158.6979</v>
      </c>
      <c r="E31" s="38">
        <v>10</v>
      </c>
      <c r="F31" s="73">
        <f t="shared" si="4"/>
        <v>554.63236088000008</v>
      </c>
      <c r="G31" s="73">
        <f t="shared" si="1"/>
        <v>184.526186464776</v>
      </c>
      <c r="I31" s="137" t="s">
        <v>69</v>
      </c>
      <c r="J31" s="135" t="s">
        <v>55</v>
      </c>
      <c r="K31" s="133" t="s">
        <v>70</v>
      </c>
      <c r="L31" s="119" t="s">
        <v>57</v>
      </c>
      <c r="M31" s="8"/>
      <c r="N31" s="8"/>
    </row>
    <row r="32" spans="1:14" ht="15" customHeight="1" x14ac:dyDescent="0.2">
      <c r="A32" s="38">
        <v>9</v>
      </c>
      <c r="B32" s="73">
        <f t="shared" si="2"/>
        <v>383.97624984000004</v>
      </c>
      <c r="C32" s="74">
        <f t="shared" si="0"/>
        <v>429.30000000000007</v>
      </c>
      <c r="D32" s="73">
        <f t="shared" si="3"/>
        <v>142.82811000000001</v>
      </c>
      <c r="E32" s="38">
        <v>9</v>
      </c>
      <c r="F32" s="73">
        <f t="shared" si="4"/>
        <v>499.16912479200005</v>
      </c>
      <c r="G32" s="73">
        <f t="shared" si="1"/>
        <v>166.07356781829839</v>
      </c>
      <c r="I32" s="263">
        <f>((L23/37.5*7.5*5)/7)*30*$C$43</f>
        <v>0</v>
      </c>
      <c r="J32" s="265">
        <f>IF(L26&lt;I32,I32,L26)</f>
        <v>0</v>
      </c>
      <c r="K32" s="267">
        <v>33.270000000000003</v>
      </c>
      <c r="L32" s="250">
        <f>J32*K32%</f>
        <v>0</v>
      </c>
      <c r="M32" s="8"/>
      <c r="N32" s="8"/>
    </row>
    <row r="33" spans="1:14" ht="15" customHeight="1" thickBot="1" x14ac:dyDescent="0.25">
      <c r="A33" s="38">
        <v>8</v>
      </c>
      <c r="B33" s="73">
        <f t="shared" si="2"/>
        <v>341.31222208000003</v>
      </c>
      <c r="C33" s="74">
        <f t="shared" si="0"/>
        <v>381.6</v>
      </c>
      <c r="D33" s="73">
        <f t="shared" si="3"/>
        <v>126.95831999999999</v>
      </c>
      <c r="E33" s="38">
        <v>8</v>
      </c>
      <c r="F33" s="73">
        <f t="shared" si="4"/>
        <v>443.70588870400002</v>
      </c>
      <c r="G33" s="73">
        <f t="shared" si="1"/>
        <v>147.62094917182077</v>
      </c>
      <c r="I33" s="264"/>
      <c r="J33" s="266"/>
      <c r="K33" s="268"/>
      <c r="L33" s="269"/>
      <c r="M33" s="8"/>
      <c r="N33" s="8"/>
    </row>
    <row r="34" spans="1:14" ht="15" customHeight="1" thickBot="1" x14ac:dyDescent="0.25">
      <c r="A34" s="38">
        <v>7</v>
      </c>
      <c r="B34" s="73">
        <f t="shared" si="2"/>
        <v>298.64819432000002</v>
      </c>
      <c r="C34" s="74">
        <f t="shared" si="0"/>
        <v>333.90000000000009</v>
      </c>
      <c r="D34" s="73">
        <f t="shared" si="3"/>
        <v>111.08853000000001</v>
      </c>
      <c r="E34" s="38">
        <v>7</v>
      </c>
      <c r="F34" s="73">
        <f t="shared" si="4"/>
        <v>388.24265261599999</v>
      </c>
      <c r="G34" s="73">
        <f t="shared" si="1"/>
        <v>129.16833052534318</v>
      </c>
      <c r="I34" s="258" t="s">
        <v>66</v>
      </c>
      <c r="J34" s="259"/>
      <c r="K34" s="260"/>
      <c r="L34" s="130">
        <f>SUM(L32)</f>
        <v>0</v>
      </c>
      <c r="M34" s="8"/>
      <c r="N34" s="8"/>
    </row>
    <row r="35" spans="1:14" ht="15" customHeight="1" x14ac:dyDescent="0.2">
      <c r="A35" s="38">
        <v>6</v>
      </c>
      <c r="B35" s="73">
        <f t="shared" si="2"/>
        <v>255.98416656000001</v>
      </c>
      <c r="C35" s="74">
        <f t="shared" si="0"/>
        <v>286.2</v>
      </c>
      <c r="D35" s="73">
        <f t="shared" si="3"/>
        <v>95.218739999999983</v>
      </c>
      <c r="E35" s="38">
        <v>6</v>
      </c>
      <c r="F35" s="73">
        <f t="shared" si="4"/>
        <v>332.77941652800001</v>
      </c>
      <c r="G35" s="73">
        <f t="shared" si="1"/>
        <v>110.71571187886559</v>
      </c>
      <c r="I35" s="35"/>
      <c r="J35" s="19"/>
      <c r="K35" s="8"/>
      <c r="L35" s="115"/>
      <c r="M35" s="8"/>
      <c r="N35" s="136"/>
    </row>
    <row r="36" spans="1:14" ht="15" customHeight="1" x14ac:dyDescent="0.2">
      <c r="A36" s="38">
        <v>5</v>
      </c>
      <c r="B36" s="73">
        <f t="shared" si="2"/>
        <v>213.32013880000002</v>
      </c>
      <c r="C36" s="74">
        <f t="shared" si="0"/>
        <v>238.50000000000003</v>
      </c>
      <c r="D36" s="73">
        <f t="shared" si="3"/>
        <v>79.348950000000002</v>
      </c>
      <c r="E36" s="38">
        <v>5</v>
      </c>
      <c r="F36" s="73">
        <f t="shared" si="4"/>
        <v>277.31618044000004</v>
      </c>
      <c r="G36" s="73">
        <f t="shared" si="1"/>
        <v>92.263093232388002</v>
      </c>
      <c r="I36" s="261" t="s">
        <v>67</v>
      </c>
      <c r="J36" s="261"/>
      <c r="K36" s="261"/>
      <c r="L36" s="261"/>
      <c r="M36" s="262" t="s">
        <v>101</v>
      </c>
      <c r="N36" s="136"/>
    </row>
    <row r="37" spans="1:14" ht="15" customHeight="1" x14ac:dyDescent="0.2">
      <c r="A37" s="38">
        <v>4</v>
      </c>
      <c r="B37" s="73">
        <f t="shared" si="2"/>
        <v>170.65611104000001</v>
      </c>
      <c r="C37" s="74">
        <f t="shared" si="0"/>
        <v>190.8</v>
      </c>
      <c r="D37" s="73">
        <f t="shared" si="3"/>
        <v>63.479159999999993</v>
      </c>
      <c r="E37" s="38">
        <v>4</v>
      </c>
      <c r="F37" s="73">
        <f t="shared" si="4"/>
        <v>221.85294435200001</v>
      </c>
      <c r="G37" s="73">
        <f t="shared" si="1"/>
        <v>73.810474585910384</v>
      </c>
      <c r="I37" s="261"/>
      <c r="J37" s="261"/>
      <c r="K37" s="261"/>
      <c r="L37" s="261"/>
      <c r="M37" s="262"/>
      <c r="N37" s="136"/>
    </row>
    <row r="38" spans="1:14" ht="15" customHeight="1" x14ac:dyDescent="0.2">
      <c r="A38" s="38">
        <v>3</v>
      </c>
      <c r="B38" s="73">
        <f t="shared" si="2"/>
        <v>127.99208328</v>
      </c>
      <c r="C38" s="74">
        <f t="shared" si="0"/>
        <v>143.1</v>
      </c>
      <c r="D38" s="73">
        <f t="shared" si="3"/>
        <v>47.609369999999991</v>
      </c>
      <c r="E38" s="38">
        <v>3</v>
      </c>
      <c r="F38" s="73">
        <f t="shared" si="4"/>
        <v>166.38970826400001</v>
      </c>
      <c r="G38" s="73">
        <f t="shared" si="1"/>
        <v>55.357855939432795</v>
      </c>
      <c r="I38" s="5"/>
    </row>
    <row r="39" spans="1:14" ht="15" customHeight="1" x14ac:dyDescent="0.2">
      <c r="A39" s="38">
        <v>2</v>
      </c>
      <c r="B39" s="73">
        <f t="shared" si="2"/>
        <v>85.328055520000007</v>
      </c>
      <c r="C39" s="74">
        <f t="shared" si="0"/>
        <v>95.4</v>
      </c>
      <c r="D39" s="73">
        <f t="shared" si="3"/>
        <v>31.739579999999997</v>
      </c>
      <c r="E39" s="38">
        <v>2</v>
      </c>
      <c r="F39" s="73">
        <f t="shared" si="4"/>
        <v>110.926472176</v>
      </c>
      <c r="G39" s="73">
        <f t="shared" si="1"/>
        <v>36.905237292955192</v>
      </c>
      <c r="I39" s="5"/>
    </row>
    <row r="40" spans="1:14" ht="15" customHeight="1" x14ac:dyDescent="0.2">
      <c r="A40" s="39">
        <v>1</v>
      </c>
      <c r="B40" s="75">
        <f t="shared" si="2"/>
        <v>42.664027760000003</v>
      </c>
      <c r="C40" s="76">
        <f t="shared" si="0"/>
        <v>47.7</v>
      </c>
      <c r="D40" s="75">
        <f t="shared" si="3"/>
        <v>15.869789999999998</v>
      </c>
      <c r="E40" s="39">
        <v>1</v>
      </c>
      <c r="F40" s="75">
        <f t="shared" si="4"/>
        <v>55.463236088000002</v>
      </c>
      <c r="G40" s="75">
        <f t="shared" si="1"/>
        <v>18.452618646477596</v>
      </c>
      <c r="I40" s="5"/>
    </row>
    <row r="41" spans="1:14" hidden="1" x14ac:dyDescent="0.2"/>
    <row r="42" spans="1:14" ht="15" hidden="1" thickBot="1" x14ac:dyDescent="0.25">
      <c r="C42" s="211" t="s">
        <v>93</v>
      </c>
    </row>
    <row r="43" spans="1:14" s="21" customFormat="1" ht="39.4" hidden="1" customHeight="1" thickBot="1" x14ac:dyDescent="0.25">
      <c r="A43" s="190"/>
      <c r="B43" s="208" t="s">
        <v>14</v>
      </c>
      <c r="C43" s="209">
        <v>11.13</v>
      </c>
      <c r="D43" s="190"/>
      <c r="E43" s="192"/>
      <c r="F43" s="190"/>
      <c r="G43" s="190"/>
      <c r="I43" s="193"/>
    </row>
    <row r="44" spans="1:14" hidden="1" x14ac:dyDescent="0.2"/>
    <row r="45" spans="1:14" hidden="1" x14ac:dyDescent="0.2"/>
    <row r="46" spans="1:14" hidden="1" x14ac:dyDescent="0.2"/>
  </sheetData>
  <sheetProtection algorithmName="SHA-512" hashValue="jlCp5/pln1ZjPb5LPBchkGMlpj7fSvhkmAxqNgYBQBmSV2MYKKcbgcreTeyyUHCKhEyULnpnk0iPPxt9Lu8R/A==" saltValue="0OSObMXZt0ZworgnjD7c0Q==" spinCount="100000" sheet="1" objects="1" scenarios="1"/>
  <protectedRanges>
    <protectedRange sqref="M36" name="CALCULO RC"/>
    <protectedRange sqref="L8" name="RET TC_1"/>
    <protectedRange sqref="L23" name="DED_1"/>
    <protectedRange sqref="L26" name="RET TP_1"/>
  </protectedRanges>
  <mergeCells count="35">
    <mergeCell ref="B2:D2"/>
    <mergeCell ref="F2:G2"/>
    <mergeCell ref="A1:G1"/>
    <mergeCell ref="I2:K2"/>
    <mergeCell ref="L2:M2"/>
    <mergeCell ref="I4:I5"/>
    <mergeCell ref="J4:J5"/>
    <mergeCell ref="K4:K5"/>
    <mergeCell ref="L4:L5"/>
    <mergeCell ref="M4:M5"/>
    <mergeCell ref="I8:K9"/>
    <mergeCell ref="L8:L9"/>
    <mergeCell ref="I11:L12"/>
    <mergeCell ref="I14:I15"/>
    <mergeCell ref="J14:J15"/>
    <mergeCell ref="K14:K15"/>
    <mergeCell ref="L14:L15"/>
    <mergeCell ref="I16:I17"/>
    <mergeCell ref="J16:J17"/>
    <mergeCell ref="K16:K17"/>
    <mergeCell ref="L16:L17"/>
    <mergeCell ref="I18:J18"/>
    <mergeCell ref="I20:N21"/>
    <mergeCell ref="I23:K24"/>
    <mergeCell ref="L23:L24"/>
    <mergeCell ref="I26:K27"/>
    <mergeCell ref="L26:L27"/>
    <mergeCell ref="I34:K34"/>
    <mergeCell ref="I36:L37"/>
    <mergeCell ref="M36:M37"/>
    <mergeCell ref="I29:L30"/>
    <mergeCell ref="I32:I33"/>
    <mergeCell ref="J32:J33"/>
    <mergeCell ref="K32:K33"/>
    <mergeCell ref="L32:L33"/>
  </mergeCells>
  <hyperlinks>
    <hyperlink ref="M36:M37" r:id="rId1" display="CALCULO RC" xr:uid="{00000000-0004-0000-04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7"/>
  <sheetViews>
    <sheetView topLeftCell="B16" zoomScaleNormal="100" workbookViewId="0">
      <selection activeCell="L6" sqref="L6"/>
    </sheetView>
  </sheetViews>
  <sheetFormatPr baseColWidth="10" defaultColWidth="11.5703125" defaultRowHeight="14.25" x14ac:dyDescent="0.2"/>
  <cols>
    <col min="1" max="1" width="18.42578125" style="4" customWidth="1"/>
    <col min="2" max="2" width="24.5703125" style="68" customWidth="1"/>
    <col min="3" max="3" width="10.28515625" style="69" hidden="1" customWidth="1"/>
    <col min="4" max="4" width="18.42578125" style="68" customWidth="1"/>
    <col min="5" max="5" width="18.42578125" style="5" customWidth="1"/>
    <col min="6" max="6" width="24.7109375" style="68" customWidth="1"/>
    <col min="7" max="7" width="18.42578125" style="68" customWidth="1"/>
    <col min="8" max="8" width="11.5703125" style="5"/>
    <col min="9" max="9" width="20.7109375" style="7" customWidth="1"/>
    <col min="10" max="10" width="19.7109375" style="5" customWidth="1"/>
    <col min="11" max="11" width="20.5703125" style="5" customWidth="1"/>
    <col min="12" max="12" width="17.28515625" style="5" customWidth="1"/>
    <col min="13" max="13" width="15.5703125" style="5" customWidth="1"/>
    <col min="14" max="16384" width="11.5703125" style="5"/>
  </cols>
  <sheetData>
    <row r="1" spans="1:14" s="8" customFormat="1" ht="65.25" customHeight="1" x14ac:dyDescent="0.2">
      <c r="A1" s="222" t="s">
        <v>112</v>
      </c>
      <c r="B1" s="223"/>
      <c r="C1" s="223"/>
      <c r="D1" s="223"/>
      <c r="E1" s="223"/>
      <c r="F1" s="223"/>
      <c r="G1" s="223"/>
      <c r="K1" s="19"/>
    </row>
    <row r="2" spans="1:14" s="36" customFormat="1" ht="24.75" customHeight="1" x14ac:dyDescent="0.2">
      <c r="A2" s="44"/>
      <c r="B2" s="302" t="s">
        <v>47</v>
      </c>
      <c r="C2" s="302"/>
      <c r="D2" s="303"/>
      <c r="E2" s="42"/>
      <c r="F2" s="302" t="s">
        <v>48</v>
      </c>
      <c r="G2" s="303"/>
      <c r="I2" s="224" t="s">
        <v>50</v>
      </c>
      <c r="J2" s="224"/>
      <c r="K2" s="224"/>
      <c r="L2" s="224" t="s">
        <v>54</v>
      </c>
      <c r="M2" s="224"/>
    </row>
    <row r="3" spans="1:14" s="27" customFormat="1" ht="38.25" x14ac:dyDescent="0.2">
      <c r="A3" s="43" t="s">
        <v>45</v>
      </c>
      <c r="B3" s="65" t="s">
        <v>46</v>
      </c>
      <c r="C3" s="66" t="s">
        <v>89</v>
      </c>
      <c r="D3" s="67" t="s">
        <v>108</v>
      </c>
      <c r="E3" s="40" t="s">
        <v>45</v>
      </c>
      <c r="F3" s="65" t="s">
        <v>46</v>
      </c>
      <c r="G3" s="67" t="s">
        <v>109</v>
      </c>
      <c r="I3" s="124" t="s">
        <v>49</v>
      </c>
      <c r="J3" s="124" t="s">
        <v>60</v>
      </c>
      <c r="K3" s="124" t="s">
        <v>61</v>
      </c>
      <c r="L3" s="125" t="s">
        <v>52</v>
      </c>
      <c r="M3" s="124" t="s">
        <v>53</v>
      </c>
    </row>
    <row r="4" spans="1:14" ht="15" customHeight="1" x14ac:dyDescent="0.2">
      <c r="A4" s="37">
        <v>37.5</v>
      </c>
      <c r="B4" s="71">
        <f>PARAMETROS!B7</f>
        <v>1499.9076611</v>
      </c>
      <c r="C4" s="72"/>
      <c r="D4" s="71"/>
      <c r="E4" s="37">
        <v>37.5</v>
      </c>
      <c r="F4" s="71">
        <f>PARAMETROS!C7</f>
        <v>1949.8804816249999</v>
      </c>
      <c r="G4" s="71">
        <f>IF(F4&gt;$K$4,$K$4*$K$18%,F4*$K$18%)</f>
        <v>648.72523623663733</v>
      </c>
      <c r="I4" s="225">
        <v>2</v>
      </c>
      <c r="J4" s="274">
        <v>1532.1</v>
      </c>
      <c r="K4" s="275">
        <v>4909.5</v>
      </c>
      <c r="L4" s="276">
        <v>1323</v>
      </c>
      <c r="M4" s="275">
        <v>4909.5</v>
      </c>
      <c r="N4" s="8"/>
    </row>
    <row r="5" spans="1:14" x14ac:dyDescent="0.2">
      <c r="A5" s="38">
        <v>36</v>
      </c>
      <c r="B5" s="73">
        <f>PRODUCT(B$4,A5)/A$4</f>
        <v>1439.911354656</v>
      </c>
      <c r="C5" s="74">
        <f t="shared" ref="C5:C40" si="0">(A5/$A$4*7.5*5)/7*30*$C$43</f>
        <v>1424.0571428571432</v>
      </c>
      <c r="D5" s="73">
        <f>IF(B5&lt;C5,C5*$K$18%,B5*$K$18%)</f>
        <v>479.05850769405112</v>
      </c>
      <c r="E5" s="38">
        <v>36</v>
      </c>
      <c r="F5" s="73">
        <f>PRODUCT(F$4,E5)/E$4</f>
        <v>1871.8852623600001</v>
      </c>
      <c r="G5" s="73">
        <f t="shared" ref="G5:G40" si="1">IF(F5&gt;$K$4,$K$4*$K$18%,F5*$K$18%)</f>
        <v>622.77622678717194</v>
      </c>
      <c r="I5" s="225"/>
      <c r="J5" s="274"/>
      <c r="K5" s="275"/>
      <c r="L5" s="276"/>
      <c r="M5" s="275"/>
      <c r="N5" s="8"/>
    </row>
    <row r="6" spans="1:14" x14ac:dyDescent="0.2">
      <c r="A6" s="38">
        <v>35</v>
      </c>
      <c r="B6" s="73">
        <f t="shared" ref="B6:B40" si="2">PRODUCT(B$4,A6)/A$4</f>
        <v>1399.9138170266667</v>
      </c>
      <c r="C6" s="74">
        <f t="shared" si="0"/>
        <v>1384.5</v>
      </c>
      <c r="D6" s="73">
        <f t="shared" ref="D6:D40" si="3">IF(B6&lt;C6,C6*$K$18%,B6*$K$18%)</f>
        <v>465.75132692477194</v>
      </c>
      <c r="E6" s="38">
        <v>35</v>
      </c>
      <c r="F6" s="73">
        <f t="shared" ref="F6:F40" si="4">PRODUCT(F$4,E6)/E$4</f>
        <v>1819.8884495166667</v>
      </c>
      <c r="G6" s="73">
        <f t="shared" si="1"/>
        <v>605.47688715419486</v>
      </c>
      <c r="I6" s="35"/>
      <c r="J6" s="8"/>
      <c r="K6" s="8"/>
      <c r="L6" s="115"/>
      <c r="M6" s="8"/>
      <c r="N6" s="8"/>
    </row>
    <row r="7" spans="1:14" ht="15" thickBot="1" x14ac:dyDescent="0.25">
      <c r="A7" s="38">
        <v>34</v>
      </c>
      <c r="B7" s="73">
        <f t="shared" si="2"/>
        <v>1359.9162793973333</v>
      </c>
      <c r="C7" s="74">
        <f t="shared" si="0"/>
        <v>1344.9428571428571</v>
      </c>
      <c r="D7" s="73">
        <f t="shared" si="3"/>
        <v>452.44414615549272</v>
      </c>
      <c r="E7" s="38">
        <v>34</v>
      </c>
      <c r="F7" s="73">
        <f t="shared" si="4"/>
        <v>1767.8916366733331</v>
      </c>
      <c r="G7" s="73">
        <f t="shared" si="1"/>
        <v>588.17754752121778</v>
      </c>
      <c r="I7" s="35"/>
      <c r="J7" s="19"/>
      <c r="K7" s="8"/>
      <c r="L7" s="115"/>
      <c r="M7" s="8"/>
      <c r="N7" s="8"/>
    </row>
    <row r="8" spans="1:14" x14ac:dyDescent="0.2">
      <c r="A8" s="38">
        <v>33</v>
      </c>
      <c r="B8" s="73">
        <f t="shared" si="2"/>
        <v>1319.918741768</v>
      </c>
      <c r="C8" s="74">
        <f t="shared" si="0"/>
        <v>1305.3857142857146</v>
      </c>
      <c r="D8" s="73">
        <f t="shared" si="3"/>
        <v>439.13696538621355</v>
      </c>
      <c r="E8" s="38">
        <v>33</v>
      </c>
      <c r="F8" s="73">
        <f t="shared" si="4"/>
        <v>1715.89482383</v>
      </c>
      <c r="G8" s="73">
        <f t="shared" si="1"/>
        <v>570.87820788824092</v>
      </c>
      <c r="I8" s="236" t="s">
        <v>87</v>
      </c>
      <c r="J8" s="236"/>
      <c r="K8" s="237"/>
      <c r="L8" s="234">
        <v>0</v>
      </c>
      <c r="M8" s="8"/>
      <c r="N8" s="8"/>
    </row>
    <row r="9" spans="1:14" ht="15" thickBot="1" x14ac:dyDescent="0.25">
      <c r="A9" s="38">
        <v>32</v>
      </c>
      <c r="B9" s="73">
        <f t="shared" si="2"/>
        <v>1279.9212041386668</v>
      </c>
      <c r="C9" s="74">
        <f t="shared" si="0"/>
        <v>1265.8285714285714</v>
      </c>
      <c r="D9" s="73">
        <f t="shared" si="3"/>
        <v>425.82978461693438</v>
      </c>
      <c r="E9" s="38">
        <v>32</v>
      </c>
      <c r="F9" s="73">
        <f t="shared" si="4"/>
        <v>1663.8980109866666</v>
      </c>
      <c r="G9" s="73">
        <f t="shared" si="1"/>
        <v>553.57886825526384</v>
      </c>
      <c r="I9" s="236"/>
      <c r="J9" s="236"/>
      <c r="K9" s="237"/>
      <c r="L9" s="235"/>
      <c r="M9" s="8"/>
      <c r="N9" s="8"/>
    </row>
    <row r="10" spans="1:14" ht="15" thickBot="1" x14ac:dyDescent="0.25">
      <c r="A10" s="38">
        <v>31</v>
      </c>
      <c r="B10" s="73">
        <f t="shared" si="2"/>
        <v>1239.9236665093333</v>
      </c>
      <c r="C10" s="74">
        <f t="shared" si="0"/>
        <v>1226.2714285714287</v>
      </c>
      <c r="D10" s="73">
        <f t="shared" si="3"/>
        <v>412.52260384765515</v>
      </c>
      <c r="E10" s="38">
        <v>31</v>
      </c>
      <c r="F10" s="73">
        <f t="shared" si="4"/>
        <v>1611.9011981433332</v>
      </c>
      <c r="G10" s="73">
        <f t="shared" si="1"/>
        <v>536.27952862228688</v>
      </c>
      <c r="I10" s="120"/>
      <c r="J10" s="121"/>
      <c r="K10" s="122"/>
      <c r="L10" s="123"/>
      <c r="M10" s="8"/>
      <c r="N10" s="8"/>
    </row>
    <row r="11" spans="1:14" x14ac:dyDescent="0.2">
      <c r="A11" s="38">
        <v>30</v>
      </c>
      <c r="B11" s="73">
        <f t="shared" si="2"/>
        <v>1199.9261288800001</v>
      </c>
      <c r="C11" s="74">
        <f t="shared" si="0"/>
        <v>1186.7142857142856</v>
      </c>
      <c r="D11" s="73">
        <f t="shared" si="3"/>
        <v>399.21542307837598</v>
      </c>
      <c r="E11" s="38">
        <v>30</v>
      </c>
      <c r="F11" s="73">
        <f t="shared" si="4"/>
        <v>1559.9043852999998</v>
      </c>
      <c r="G11" s="73">
        <f t="shared" si="1"/>
        <v>518.9801889893098</v>
      </c>
      <c r="I11" s="238" t="s">
        <v>62</v>
      </c>
      <c r="J11" s="239"/>
      <c r="K11" s="239"/>
      <c r="L11" s="240"/>
      <c r="M11" s="8"/>
      <c r="N11" s="8"/>
    </row>
    <row r="12" spans="1:14" ht="15" thickBot="1" x14ac:dyDescent="0.25">
      <c r="A12" s="38">
        <v>29</v>
      </c>
      <c r="B12" s="73">
        <f t="shared" si="2"/>
        <v>1159.9285912506666</v>
      </c>
      <c r="C12" s="74">
        <f t="shared" si="0"/>
        <v>1147.1571428571431</v>
      </c>
      <c r="D12" s="73">
        <f t="shared" si="3"/>
        <v>385.90824230909669</v>
      </c>
      <c r="E12" s="38">
        <v>29</v>
      </c>
      <c r="F12" s="73">
        <f t="shared" si="4"/>
        <v>1507.9075724566667</v>
      </c>
      <c r="G12" s="73">
        <f t="shared" si="1"/>
        <v>501.68084935633294</v>
      </c>
      <c r="I12" s="241"/>
      <c r="J12" s="242"/>
      <c r="K12" s="242"/>
      <c r="L12" s="243"/>
      <c r="M12" s="8"/>
      <c r="N12" s="8"/>
    </row>
    <row r="13" spans="1:14" ht="15" thickBot="1" x14ac:dyDescent="0.25">
      <c r="A13" s="38">
        <v>28</v>
      </c>
      <c r="B13" s="73">
        <f t="shared" si="2"/>
        <v>1119.9310536213334</v>
      </c>
      <c r="C13" s="74">
        <f t="shared" si="0"/>
        <v>1107.6000000000004</v>
      </c>
      <c r="D13" s="73">
        <f t="shared" si="3"/>
        <v>372.60106153981752</v>
      </c>
      <c r="E13" s="38">
        <v>28</v>
      </c>
      <c r="F13" s="73">
        <f t="shared" si="4"/>
        <v>1455.9107596133333</v>
      </c>
      <c r="G13" s="73">
        <f t="shared" si="1"/>
        <v>484.38150972335592</v>
      </c>
      <c r="I13" s="117"/>
      <c r="J13" s="118" t="s">
        <v>55</v>
      </c>
      <c r="K13" s="133" t="s">
        <v>56</v>
      </c>
      <c r="L13" s="119" t="s">
        <v>57</v>
      </c>
      <c r="M13" s="8"/>
      <c r="N13" s="8"/>
    </row>
    <row r="14" spans="1:14" x14ac:dyDescent="0.2">
      <c r="A14" s="38">
        <v>27</v>
      </c>
      <c r="B14" s="73">
        <f t="shared" si="2"/>
        <v>1079.9335159920001</v>
      </c>
      <c r="C14" s="74">
        <f t="shared" si="0"/>
        <v>1068.0428571428572</v>
      </c>
      <c r="D14" s="73">
        <f t="shared" si="3"/>
        <v>359.29388077053841</v>
      </c>
      <c r="E14" s="38">
        <v>27</v>
      </c>
      <c r="F14" s="73">
        <f t="shared" si="4"/>
        <v>1403.9139467699999</v>
      </c>
      <c r="G14" s="73">
        <f t="shared" si="1"/>
        <v>467.0821700903789</v>
      </c>
      <c r="I14" s="244" t="s">
        <v>58</v>
      </c>
      <c r="J14" s="246">
        <f>IF(L8&gt;=J4,L8,J4)</f>
        <v>1532.1</v>
      </c>
      <c r="K14" s="248">
        <v>24.27</v>
      </c>
      <c r="L14" s="254">
        <f>J14*K14%</f>
        <v>371.84066999999999</v>
      </c>
      <c r="M14" s="8"/>
      <c r="N14" s="8"/>
    </row>
    <row r="15" spans="1:14" ht="15" thickBot="1" x14ac:dyDescent="0.25">
      <c r="A15" s="38">
        <v>26</v>
      </c>
      <c r="B15" s="73">
        <f t="shared" si="2"/>
        <v>1039.9359783626667</v>
      </c>
      <c r="C15" s="74">
        <f t="shared" si="0"/>
        <v>1028.4857142857143</v>
      </c>
      <c r="D15" s="73">
        <f t="shared" si="3"/>
        <v>345.98670000125912</v>
      </c>
      <c r="E15" s="38">
        <v>26</v>
      </c>
      <c r="F15" s="73">
        <f t="shared" si="4"/>
        <v>1351.9171339266666</v>
      </c>
      <c r="G15" s="73">
        <f t="shared" si="1"/>
        <v>449.78283045740187</v>
      </c>
      <c r="I15" s="245"/>
      <c r="J15" s="247"/>
      <c r="K15" s="249"/>
      <c r="L15" s="255"/>
      <c r="M15" s="8"/>
      <c r="N15" s="8"/>
    </row>
    <row r="16" spans="1:14" x14ac:dyDescent="0.2">
      <c r="A16" s="38">
        <v>25</v>
      </c>
      <c r="B16" s="73">
        <f t="shared" si="2"/>
        <v>999.93844073333332</v>
      </c>
      <c r="C16" s="74">
        <f t="shared" si="0"/>
        <v>988.92857142857156</v>
      </c>
      <c r="D16" s="73">
        <f t="shared" si="3"/>
        <v>332.67951923197995</v>
      </c>
      <c r="E16" s="38">
        <v>25</v>
      </c>
      <c r="F16" s="73">
        <f t="shared" si="4"/>
        <v>1299.9203210833332</v>
      </c>
      <c r="G16" s="73">
        <f t="shared" si="1"/>
        <v>432.48349082442485</v>
      </c>
      <c r="I16" s="252" t="s">
        <v>59</v>
      </c>
      <c r="J16" s="246">
        <f>IF(L8&gt;=L4,L8,L4)</f>
        <v>1323</v>
      </c>
      <c r="K16" s="248">
        <v>9</v>
      </c>
      <c r="L16" s="250">
        <f>J16*K16%</f>
        <v>119.07</v>
      </c>
      <c r="M16" s="8"/>
      <c r="N16" s="8"/>
    </row>
    <row r="17" spans="1:14" ht="15" thickBot="1" x14ac:dyDescent="0.25">
      <c r="A17" s="38">
        <v>24</v>
      </c>
      <c r="B17" s="73">
        <f t="shared" si="2"/>
        <v>959.94090310399997</v>
      </c>
      <c r="C17" s="74">
        <f t="shared" si="0"/>
        <v>949.37142857142851</v>
      </c>
      <c r="D17" s="73">
        <f t="shared" si="3"/>
        <v>319.37233846270072</v>
      </c>
      <c r="E17" s="38">
        <v>24</v>
      </c>
      <c r="F17" s="73">
        <f t="shared" si="4"/>
        <v>1247.92350824</v>
      </c>
      <c r="G17" s="73">
        <f t="shared" si="1"/>
        <v>415.18415119144794</v>
      </c>
      <c r="I17" s="253"/>
      <c r="J17" s="247"/>
      <c r="K17" s="249">
        <v>0.2</v>
      </c>
      <c r="L17" s="251"/>
      <c r="M17" s="8"/>
      <c r="N17" s="8"/>
    </row>
    <row r="18" spans="1:14" ht="15" thickBot="1" x14ac:dyDescent="0.25">
      <c r="A18" s="38">
        <v>23</v>
      </c>
      <c r="B18" s="73">
        <f t="shared" si="2"/>
        <v>919.94336547466673</v>
      </c>
      <c r="C18" s="74">
        <f t="shared" si="0"/>
        <v>909.81428571428569</v>
      </c>
      <c r="D18" s="73">
        <f t="shared" si="3"/>
        <v>306.06515769342155</v>
      </c>
      <c r="E18" s="38">
        <v>23</v>
      </c>
      <c r="F18" s="73">
        <f t="shared" si="4"/>
        <v>1195.9266953966667</v>
      </c>
      <c r="G18" s="73">
        <f t="shared" si="1"/>
        <v>397.88481155847091</v>
      </c>
      <c r="I18" s="232" t="s">
        <v>63</v>
      </c>
      <c r="J18" s="233"/>
      <c r="K18" s="134">
        <f>(K14+K16)</f>
        <v>33.269999999999996</v>
      </c>
      <c r="L18" s="130">
        <f>SUM(L14:L17)</f>
        <v>490.91066999999998</v>
      </c>
      <c r="M18" s="8"/>
      <c r="N18" s="8"/>
    </row>
    <row r="19" spans="1:14" x14ac:dyDescent="0.2">
      <c r="A19" s="38">
        <v>22</v>
      </c>
      <c r="B19" s="73">
        <f t="shared" si="2"/>
        <v>879.9458278453335</v>
      </c>
      <c r="C19" s="74">
        <f t="shared" si="0"/>
        <v>870.25714285714287</v>
      </c>
      <c r="D19" s="73">
        <f t="shared" si="3"/>
        <v>292.75797692414238</v>
      </c>
      <c r="E19" s="38">
        <v>22</v>
      </c>
      <c r="F19" s="73">
        <f t="shared" si="4"/>
        <v>1143.9298825533333</v>
      </c>
      <c r="G19" s="73">
        <f t="shared" si="1"/>
        <v>380.58547192549395</v>
      </c>
      <c r="I19" s="126"/>
      <c r="J19" s="127"/>
      <c r="K19" s="128"/>
      <c r="L19" s="129"/>
      <c r="M19" s="8"/>
      <c r="N19" s="8"/>
    </row>
    <row r="20" spans="1:14" ht="14.25" customHeight="1" x14ac:dyDescent="0.2">
      <c r="A20" s="38">
        <v>21</v>
      </c>
      <c r="B20" s="73">
        <f t="shared" si="2"/>
        <v>839.94829021599992</v>
      </c>
      <c r="C20" s="74">
        <f t="shared" si="0"/>
        <v>830.7</v>
      </c>
      <c r="D20" s="73">
        <f t="shared" si="3"/>
        <v>279.4507961548631</v>
      </c>
      <c r="E20" s="38">
        <v>21</v>
      </c>
      <c r="F20" s="73">
        <f t="shared" si="4"/>
        <v>1091.9330697099999</v>
      </c>
      <c r="G20" s="73">
        <f t="shared" si="1"/>
        <v>363.28613229251692</v>
      </c>
      <c r="I20" s="221" t="s">
        <v>77</v>
      </c>
      <c r="J20" s="221"/>
      <c r="K20" s="221"/>
      <c r="L20" s="221"/>
      <c r="M20" s="221"/>
      <c r="N20" s="147"/>
    </row>
    <row r="21" spans="1:14" x14ac:dyDescent="0.2">
      <c r="A21" s="38">
        <v>20</v>
      </c>
      <c r="B21" s="73">
        <f t="shared" si="2"/>
        <v>799.95075258666668</v>
      </c>
      <c r="C21" s="74">
        <f t="shared" si="0"/>
        <v>791.14285714285722</v>
      </c>
      <c r="D21" s="73">
        <f t="shared" si="3"/>
        <v>266.14361538558398</v>
      </c>
      <c r="E21" s="38">
        <v>20</v>
      </c>
      <c r="F21" s="73">
        <f t="shared" si="4"/>
        <v>1039.9362568666666</v>
      </c>
      <c r="G21" s="73">
        <f t="shared" si="1"/>
        <v>345.9867926595399</v>
      </c>
      <c r="I21" s="221"/>
      <c r="J21" s="221"/>
      <c r="K21" s="221"/>
      <c r="L21" s="221"/>
      <c r="M21" s="221"/>
      <c r="N21" s="147"/>
    </row>
    <row r="22" spans="1:14" ht="15" thickBot="1" x14ac:dyDescent="0.25">
      <c r="A22" s="38">
        <v>19</v>
      </c>
      <c r="B22" s="73">
        <f t="shared" si="2"/>
        <v>759.95321495733344</v>
      </c>
      <c r="C22" s="74">
        <f t="shared" si="0"/>
        <v>751.58571428571429</v>
      </c>
      <c r="D22" s="73">
        <f t="shared" si="3"/>
        <v>252.83643461630479</v>
      </c>
      <c r="E22" s="38">
        <v>19</v>
      </c>
      <c r="F22" s="73">
        <f t="shared" si="4"/>
        <v>987.93944402333329</v>
      </c>
      <c r="G22" s="73">
        <f t="shared" si="1"/>
        <v>328.68745302656293</v>
      </c>
      <c r="I22" s="35"/>
      <c r="J22" s="19"/>
      <c r="K22" s="8"/>
      <c r="L22" s="115"/>
      <c r="M22" s="8"/>
      <c r="N22" s="8"/>
    </row>
    <row r="23" spans="1:14" x14ac:dyDescent="0.2">
      <c r="A23" s="38">
        <v>18</v>
      </c>
      <c r="B23" s="73">
        <f t="shared" si="2"/>
        <v>719.95567732799998</v>
      </c>
      <c r="C23" s="74">
        <f t="shared" si="0"/>
        <v>712.02857142857158</v>
      </c>
      <c r="D23" s="73">
        <f t="shared" si="3"/>
        <v>239.52925384702556</v>
      </c>
      <c r="E23" s="38">
        <v>18</v>
      </c>
      <c r="F23" s="73">
        <f t="shared" si="4"/>
        <v>935.94263118000003</v>
      </c>
      <c r="G23" s="73">
        <f t="shared" si="1"/>
        <v>311.38811339358597</v>
      </c>
      <c r="I23" s="236" t="s">
        <v>64</v>
      </c>
      <c r="J23" s="236"/>
      <c r="K23" s="237"/>
      <c r="L23" s="304">
        <v>0</v>
      </c>
      <c r="M23" s="8"/>
      <c r="N23" s="8"/>
    </row>
    <row r="24" spans="1:14" ht="15" thickBot="1" x14ac:dyDescent="0.25">
      <c r="A24" s="38">
        <v>17</v>
      </c>
      <c r="B24" s="73">
        <f t="shared" si="2"/>
        <v>679.95813969866663</v>
      </c>
      <c r="C24" s="74">
        <f t="shared" si="0"/>
        <v>672.47142857142853</v>
      </c>
      <c r="D24" s="73">
        <f t="shared" si="3"/>
        <v>226.22207307774636</v>
      </c>
      <c r="E24" s="38">
        <v>17</v>
      </c>
      <c r="F24" s="73">
        <f t="shared" si="4"/>
        <v>883.94581833666655</v>
      </c>
      <c r="G24" s="73">
        <f t="shared" si="1"/>
        <v>294.08877376060889</v>
      </c>
      <c r="I24" s="236"/>
      <c r="J24" s="236"/>
      <c r="K24" s="237"/>
      <c r="L24" s="305"/>
      <c r="M24" s="8"/>
      <c r="N24" s="8"/>
    </row>
    <row r="25" spans="1:14" ht="15" thickBot="1" x14ac:dyDescent="0.25">
      <c r="A25" s="38">
        <v>16</v>
      </c>
      <c r="B25" s="73">
        <f t="shared" si="2"/>
        <v>639.96060206933339</v>
      </c>
      <c r="C25" s="74">
        <f t="shared" si="0"/>
        <v>632.91428571428571</v>
      </c>
      <c r="D25" s="73">
        <f t="shared" si="3"/>
        <v>212.91489230846719</v>
      </c>
      <c r="E25" s="38">
        <v>16</v>
      </c>
      <c r="F25" s="73">
        <f t="shared" si="4"/>
        <v>831.94900549333329</v>
      </c>
      <c r="G25" s="73">
        <f t="shared" si="1"/>
        <v>276.78943412763192</v>
      </c>
      <c r="I25" s="35"/>
      <c r="J25" s="19"/>
      <c r="K25" s="8"/>
      <c r="L25" s="115"/>
      <c r="M25" s="8"/>
      <c r="N25" s="8"/>
    </row>
    <row r="26" spans="1:14" x14ac:dyDescent="0.2">
      <c r="A26" s="38">
        <v>15</v>
      </c>
      <c r="B26" s="73">
        <f t="shared" si="2"/>
        <v>599.96306444000004</v>
      </c>
      <c r="C26" s="74">
        <f t="shared" si="0"/>
        <v>593.35714285714278</v>
      </c>
      <c r="D26" s="73">
        <f t="shared" si="3"/>
        <v>199.60771153918799</v>
      </c>
      <c r="E26" s="38">
        <v>15</v>
      </c>
      <c r="F26" s="73">
        <f t="shared" si="4"/>
        <v>779.95219264999992</v>
      </c>
      <c r="G26" s="73">
        <f t="shared" si="1"/>
        <v>259.4900944946549</v>
      </c>
      <c r="I26" s="236" t="s">
        <v>68</v>
      </c>
      <c r="J26" s="236"/>
      <c r="K26" s="237"/>
      <c r="L26" s="234">
        <v>0</v>
      </c>
      <c r="M26" s="8"/>
      <c r="N26" s="8"/>
    </row>
    <row r="27" spans="1:14" ht="15" thickBot="1" x14ac:dyDescent="0.25">
      <c r="A27" s="38">
        <v>14</v>
      </c>
      <c r="B27" s="73">
        <f t="shared" si="2"/>
        <v>559.96552681066669</v>
      </c>
      <c r="C27" s="74">
        <f t="shared" si="0"/>
        <v>553.80000000000018</v>
      </c>
      <c r="D27" s="73">
        <f t="shared" si="3"/>
        <v>186.30053076990876</v>
      </c>
      <c r="E27" s="38">
        <v>14</v>
      </c>
      <c r="F27" s="73">
        <f t="shared" si="4"/>
        <v>727.95537980666666</v>
      </c>
      <c r="G27" s="73">
        <f t="shared" si="1"/>
        <v>242.19075486167796</v>
      </c>
      <c r="I27" s="236"/>
      <c r="J27" s="236"/>
      <c r="K27" s="237"/>
      <c r="L27" s="235"/>
      <c r="M27" s="8"/>
      <c r="N27" s="8"/>
    </row>
    <row r="28" spans="1:14" ht="15" thickBot="1" x14ac:dyDescent="0.25">
      <c r="A28" s="38">
        <v>13</v>
      </c>
      <c r="B28" s="73">
        <f t="shared" si="2"/>
        <v>519.96798918133334</v>
      </c>
      <c r="C28" s="74">
        <f t="shared" si="0"/>
        <v>514.24285714285713</v>
      </c>
      <c r="D28" s="73">
        <f t="shared" si="3"/>
        <v>172.99335000062956</v>
      </c>
      <c r="E28" s="38">
        <v>13</v>
      </c>
      <c r="F28" s="73">
        <f t="shared" si="4"/>
        <v>675.95856696333328</v>
      </c>
      <c r="G28" s="73">
        <f t="shared" si="1"/>
        <v>224.89141522870094</v>
      </c>
      <c r="I28" s="35"/>
      <c r="J28" s="19"/>
      <c r="K28" s="8"/>
      <c r="L28" s="115"/>
      <c r="M28" s="8"/>
      <c r="N28" s="8"/>
    </row>
    <row r="29" spans="1:14" x14ac:dyDescent="0.2">
      <c r="A29" s="38">
        <v>12</v>
      </c>
      <c r="B29" s="73">
        <f t="shared" si="2"/>
        <v>479.97045155199999</v>
      </c>
      <c r="C29" s="74">
        <f t="shared" si="0"/>
        <v>474.68571428571425</v>
      </c>
      <c r="D29" s="73">
        <f t="shared" si="3"/>
        <v>159.68616923135036</v>
      </c>
      <c r="E29" s="38">
        <v>12</v>
      </c>
      <c r="F29" s="73">
        <f t="shared" si="4"/>
        <v>623.96175412000002</v>
      </c>
      <c r="G29" s="73">
        <f t="shared" si="1"/>
        <v>207.59207559572397</v>
      </c>
      <c r="I29" s="238" t="s">
        <v>65</v>
      </c>
      <c r="J29" s="239"/>
      <c r="K29" s="239"/>
      <c r="L29" s="240"/>
      <c r="M29" s="8"/>
      <c r="N29" s="8"/>
    </row>
    <row r="30" spans="1:14" ht="15" thickBot="1" x14ac:dyDescent="0.25">
      <c r="A30" s="38">
        <v>11</v>
      </c>
      <c r="B30" s="73">
        <f t="shared" si="2"/>
        <v>439.97291392266675</v>
      </c>
      <c r="C30" s="74">
        <f t="shared" si="0"/>
        <v>435.12857142857143</v>
      </c>
      <c r="D30" s="73">
        <f t="shared" si="3"/>
        <v>146.37898846207119</v>
      </c>
      <c r="E30" s="38">
        <v>11</v>
      </c>
      <c r="F30" s="73">
        <f t="shared" si="4"/>
        <v>571.96494127666665</v>
      </c>
      <c r="G30" s="73">
        <f t="shared" si="1"/>
        <v>190.29273596274697</v>
      </c>
      <c r="I30" s="241"/>
      <c r="J30" s="242"/>
      <c r="K30" s="242"/>
      <c r="L30" s="243"/>
      <c r="M30" s="8"/>
      <c r="N30" s="8"/>
    </row>
    <row r="31" spans="1:14" ht="15" thickBot="1" x14ac:dyDescent="0.25">
      <c r="A31" s="38">
        <v>10</v>
      </c>
      <c r="B31" s="73">
        <f t="shared" si="2"/>
        <v>399.97537629333334</v>
      </c>
      <c r="C31" s="74">
        <f t="shared" si="0"/>
        <v>395.57142857142861</v>
      </c>
      <c r="D31" s="73">
        <f t="shared" si="3"/>
        <v>133.07180769279199</v>
      </c>
      <c r="E31" s="38">
        <v>10</v>
      </c>
      <c r="F31" s="73">
        <f t="shared" si="4"/>
        <v>519.96812843333328</v>
      </c>
      <c r="G31" s="73">
        <f t="shared" si="1"/>
        <v>172.99339632976995</v>
      </c>
      <c r="I31" s="137" t="s">
        <v>69</v>
      </c>
      <c r="J31" s="135" t="s">
        <v>55</v>
      </c>
      <c r="K31" s="133" t="s">
        <v>70</v>
      </c>
      <c r="L31" s="119" t="s">
        <v>57</v>
      </c>
      <c r="M31" s="8"/>
      <c r="N31" s="8"/>
    </row>
    <row r="32" spans="1:14" x14ac:dyDescent="0.2">
      <c r="A32" s="38">
        <v>9</v>
      </c>
      <c r="B32" s="73">
        <f t="shared" si="2"/>
        <v>359.97783866399999</v>
      </c>
      <c r="C32" s="74">
        <f t="shared" si="0"/>
        <v>356.01428571428579</v>
      </c>
      <c r="D32" s="73">
        <f t="shared" si="3"/>
        <v>119.76462692351278</v>
      </c>
      <c r="E32" s="38">
        <v>9</v>
      </c>
      <c r="F32" s="73">
        <f t="shared" si="4"/>
        <v>467.97131559000002</v>
      </c>
      <c r="G32" s="73">
        <f t="shared" si="1"/>
        <v>155.69405669679298</v>
      </c>
      <c r="I32" s="263">
        <f>((L23/37.5*7.5*5)/7)*30*$C$43</f>
        <v>0</v>
      </c>
      <c r="J32" s="265">
        <f>IF(L26&lt;I32,I32,L26)</f>
        <v>0</v>
      </c>
      <c r="K32" s="267">
        <v>33.270000000000003</v>
      </c>
      <c r="L32" s="250">
        <f>J32*K32%</f>
        <v>0</v>
      </c>
      <c r="M32" s="8"/>
      <c r="N32" s="8"/>
    </row>
    <row r="33" spans="1:14" ht="15" thickBot="1" x14ac:dyDescent="0.25">
      <c r="A33" s="38">
        <v>8</v>
      </c>
      <c r="B33" s="73">
        <f t="shared" si="2"/>
        <v>319.9803010346667</v>
      </c>
      <c r="C33" s="74">
        <f t="shared" si="0"/>
        <v>316.45714285714286</v>
      </c>
      <c r="D33" s="73">
        <f t="shared" si="3"/>
        <v>106.45744615423359</v>
      </c>
      <c r="E33" s="38">
        <v>8</v>
      </c>
      <c r="F33" s="73">
        <f t="shared" si="4"/>
        <v>415.97450274666664</v>
      </c>
      <c r="G33" s="73">
        <f t="shared" si="1"/>
        <v>138.39471706381596</v>
      </c>
      <c r="I33" s="264"/>
      <c r="J33" s="266"/>
      <c r="K33" s="268"/>
      <c r="L33" s="269"/>
      <c r="M33" s="8"/>
      <c r="N33" s="8"/>
    </row>
    <row r="34" spans="1:14" ht="15" thickBot="1" x14ac:dyDescent="0.25">
      <c r="A34" s="38">
        <v>7</v>
      </c>
      <c r="B34" s="73">
        <f t="shared" si="2"/>
        <v>279.98276340533334</v>
      </c>
      <c r="C34" s="74">
        <f t="shared" si="0"/>
        <v>276.90000000000009</v>
      </c>
      <c r="D34" s="73">
        <f t="shared" si="3"/>
        <v>93.15026538495438</v>
      </c>
      <c r="E34" s="38">
        <v>7</v>
      </c>
      <c r="F34" s="73">
        <f t="shared" si="4"/>
        <v>363.97768990333333</v>
      </c>
      <c r="G34" s="73">
        <f t="shared" si="1"/>
        <v>121.09537743083898</v>
      </c>
      <c r="I34" s="258" t="s">
        <v>66</v>
      </c>
      <c r="J34" s="259"/>
      <c r="K34" s="260"/>
      <c r="L34" s="130">
        <f>SUM(L32)</f>
        <v>0</v>
      </c>
      <c r="M34" s="8"/>
      <c r="N34" s="8"/>
    </row>
    <row r="35" spans="1:14" x14ac:dyDescent="0.2">
      <c r="A35" s="38">
        <v>6</v>
      </c>
      <c r="B35" s="73">
        <f t="shared" si="2"/>
        <v>239.98522577599999</v>
      </c>
      <c r="C35" s="74">
        <f t="shared" si="0"/>
        <v>237.34285714285713</v>
      </c>
      <c r="D35" s="73">
        <f t="shared" si="3"/>
        <v>79.843084615675181</v>
      </c>
      <c r="E35" s="38">
        <v>6</v>
      </c>
      <c r="F35" s="73">
        <f t="shared" si="4"/>
        <v>311.98087706000001</v>
      </c>
      <c r="G35" s="73">
        <f t="shared" si="1"/>
        <v>103.79603779786198</v>
      </c>
      <c r="I35" s="35"/>
      <c r="J35" s="19"/>
      <c r="K35" s="8"/>
      <c r="L35" s="115"/>
      <c r="M35" s="8"/>
      <c r="N35" s="136"/>
    </row>
    <row r="36" spans="1:14" x14ac:dyDescent="0.2">
      <c r="A36" s="38">
        <v>5</v>
      </c>
      <c r="B36" s="73">
        <f t="shared" si="2"/>
        <v>199.98768814666667</v>
      </c>
      <c r="C36" s="74">
        <f t="shared" si="0"/>
        <v>197.78571428571431</v>
      </c>
      <c r="D36" s="73">
        <f t="shared" si="3"/>
        <v>66.535903846395996</v>
      </c>
      <c r="E36" s="38">
        <v>5</v>
      </c>
      <c r="F36" s="73">
        <f t="shared" si="4"/>
        <v>259.98406421666664</v>
      </c>
      <c r="G36" s="73">
        <f t="shared" si="1"/>
        <v>86.496698164884975</v>
      </c>
      <c r="I36" s="261" t="s">
        <v>67</v>
      </c>
      <c r="J36" s="261"/>
      <c r="K36" s="261"/>
      <c r="L36" s="261"/>
      <c r="M36" s="262" t="s">
        <v>101</v>
      </c>
      <c r="N36" s="136"/>
    </row>
    <row r="37" spans="1:14" x14ac:dyDescent="0.2">
      <c r="A37" s="38">
        <v>4</v>
      </c>
      <c r="B37" s="73">
        <f t="shared" si="2"/>
        <v>159.99015051733335</v>
      </c>
      <c r="C37" s="74">
        <f t="shared" si="0"/>
        <v>158.22857142857143</v>
      </c>
      <c r="D37" s="73">
        <f t="shared" si="3"/>
        <v>53.228723077116797</v>
      </c>
      <c r="E37" s="38">
        <v>4</v>
      </c>
      <c r="F37" s="73">
        <f t="shared" si="4"/>
        <v>207.98725137333332</v>
      </c>
      <c r="G37" s="73">
        <f t="shared" si="1"/>
        <v>69.19735853190798</v>
      </c>
      <c r="I37" s="261"/>
      <c r="J37" s="261"/>
      <c r="K37" s="261"/>
      <c r="L37" s="261"/>
      <c r="M37" s="262"/>
      <c r="N37" s="136"/>
    </row>
    <row r="38" spans="1:14" x14ac:dyDescent="0.2">
      <c r="A38" s="38">
        <v>3</v>
      </c>
      <c r="B38" s="73">
        <f t="shared" si="2"/>
        <v>119.992612888</v>
      </c>
      <c r="C38" s="74">
        <f t="shared" si="0"/>
        <v>118.67142857142856</v>
      </c>
      <c r="D38" s="73">
        <f t="shared" si="3"/>
        <v>39.921542307837591</v>
      </c>
      <c r="E38" s="38">
        <v>3</v>
      </c>
      <c r="F38" s="73">
        <f t="shared" si="4"/>
        <v>155.99043853000001</v>
      </c>
      <c r="G38" s="73">
        <f t="shared" si="1"/>
        <v>51.898018898930992</v>
      </c>
      <c r="I38" s="5"/>
    </row>
    <row r="39" spans="1:14" x14ac:dyDescent="0.2">
      <c r="A39" s="38">
        <v>2</v>
      </c>
      <c r="B39" s="73">
        <f t="shared" si="2"/>
        <v>79.995075258666674</v>
      </c>
      <c r="C39" s="74">
        <f t="shared" si="0"/>
        <v>79.114285714285714</v>
      </c>
      <c r="D39" s="73">
        <f t="shared" si="3"/>
        <v>26.614361538558398</v>
      </c>
      <c r="E39" s="38">
        <v>2</v>
      </c>
      <c r="F39" s="73">
        <f t="shared" si="4"/>
        <v>103.99362568666666</v>
      </c>
      <c r="G39" s="73">
        <f t="shared" si="1"/>
        <v>34.59867926595399</v>
      </c>
      <c r="I39" s="5"/>
    </row>
    <row r="40" spans="1:14" x14ac:dyDescent="0.2">
      <c r="A40" s="39">
        <v>1</v>
      </c>
      <c r="B40" s="75">
        <f t="shared" si="2"/>
        <v>39.997537629333337</v>
      </c>
      <c r="C40" s="76">
        <f t="shared" si="0"/>
        <v>39.557142857142857</v>
      </c>
      <c r="D40" s="75">
        <f t="shared" si="3"/>
        <v>13.307180769279199</v>
      </c>
      <c r="E40" s="39">
        <v>1</v>
      </c>
      <c r="F40" s="75">
        <f t="shared" si="4"/>
        <v>51.996812843333331</v>
      </c>
      <c r="G40" s="75">
        <f t="shared" si="1"/>
        <v>17.299339632976995</v>
      </c>
      <c r="I40" s="5"/>
    </row>
    <row r="42" spans="1:14" ht="15" hidden="1" thickBot="1" x14ac:dyDescent="0.25">
      <c r="C42" s="211" t="s">
        <v>93</v>
      </c>
    </row>
    <row r="43" spans="1:14" s="21" customFormat="1" ht="41.25" hidden="1" customHeight="1" thickBot="1" x14ac:dyDescent="0.25">
      <c r="A43" s="190"/>
      <c r="B43" s="206" t="s">
        <v>16</v>
      </c>
      <c r="C43" s="207">
        <v>9.23</v>
      </c>
      <c r="D43" s="191"/>
      <c r="E43" s="192"/>
      <c r="F43" s="191"/>
      <c r="G43" s="191"/>
      <c r="I43" s="193"/>
    </row>
    <row r="44" spans="1:14" hidden="1" x14ac:dyDescent="0.2"/>
    <row r="45" spans="1:14" hidden="1" x14ac:dyDescent="0.2"/>
    <row r="46" spans="1:14" hidden="1" x14ac:dyDescent="0.2"/>
    <row r="47" spans="1:14" hidden="1" x14ac:dyDescent="0.2"/>
  </sheetData>
  <sheetProtection algorithmName="SHA-512" hashValue="GtWic9Ypm5a98+nYc9qabndfysOGpkZq+MSvs65brhKNKZGZ+bFNlMKzWPY8/f5spwiRBXRdcWh6XU7uenioPw==" saltValue="LNjm68aU6FPMuiFVdgm4bw==" spinCount="100000" sheet="1" objects="1" scenarios="1"/>
  <protectedRanges>
    <protectedRange sqref="M36" name="CALCULO RC"/>
    <protectedRange sqref="L8" name="RET TC_1"/>
    <protectedRange sqref="L23" name="DED_1"/>
    <protectedRange sqref="L26" name="RET TP_2"/>
  </protectedRanges>
  <mergeCells count="35">
    <mergeCell ref="A1:G1"/>
    <mergeCell ref="B2:D2"/>
    <mergeCell ref="F2:G2"/>
    <mergeCell ref="I2:K2"/>
    <mergeCell ref="L2:M2"/>
    <mergeCell ref="I4:I5"/>
    <mergeCell ref="J4:J5"/>
    <mergeCell ref="K4:K5"/>
    <mergeCell ref="L4:L5"/>
    <mergeCell ref="M4:M5"/>
    <mergeCell ref="I8:K9"/>
    <mergeCell ref="L8:L9"/>
    <mergeCell ref="I11:L12"/>
    <mergeCell ref="I14:I15"/>
    <mergeCell ref="J14:J15"/>
    <mergeCell ref="K14:K15"/>
    <mergeCell ref="L14:L15"/>
    <mergeCell ref="I16:I17"/>
    <mergeCell ref="J16:J17"/>
    <mergeCell ref="K16:K17"/>
    <mergeCell ref="L16:L17"/>
    <mergeCell ref="I18:J18"/>
    <mergeCell ref="I34:K34"/>
    <mergeCell ref="I36:L37"/>
    <mergeCell ref="M36:M37"/>
    <mergeCell ref="I20:M21"/>
    <mergeCell ref="I29:L30"/>
    <mergeCell ref="I32:I33"/>
    <mergeCell ref="J32:J33"/>
    <mergeCell ref="K32:K33"/>
    <mergeCell ref="L32:L33"/>
    <mergeCell ref="I23:K24"/>
    <mergeCell ref="L23:L24"/>
    <mergeCell ref="I26:K27"/>
    <mergeCell ref="L26:L27"/>
  </mergeCells>
  <phoneticPr fontId="0" type="noConversion"/>
  <hyperlinks>
    <hyperlink ref="M36:M37" r:id="rId1" display="CALCULO RC" xr:uid="{00000000-0004-0000-05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Q45"/>
  <sheetViews>
    <sheetView topLeftCell="A13" zoomScaleNormal="100" workbookViewId="0">
      <selection activeCell="G6" sqref="G6"/>
    </sheetView>
  </sheetViews>
  <sheetFormatPr baseColWidth="10" defaultRowHeight="12.75" x14ac:dyDescent="0.2"/>
  <cols>
    <col min="1" max="1" width="25.28515625" style="1" bestFit="1" customWidth="1"/>
    <col min="2" max="2" width="33.42578125" style="83" customWidth="1"/>
    <col min="3" max="3" width="12.85546875" style="84" hidden="1" customWidth="1"/>
    <col min="4" max="4" width="31.28515625" style="83" customWidth="1"/>
    <col min="5" max="5" width="11.42578125" style="2" customWidth="1"/>
    <col min="6" max="6" width="21.28515625" style="2" customWidth="1"/>
    <col min="7" max="7" width="26" style="2" customWidth="1"/>
    <col min="8" max="8" width="26.7109375" style="2" customWidth="1"/>
    <col min="9" max="9" width="16.28515625" style="2" bestFit="1" customWidth="1"/>
    <col min="10" max="10" width="15.28515625" style="2" bestFit="1" customWidth="1"/>
    <col min="11" max="173" width="11.42578125" style="2"/>
  </cols>
  <sheetData>
    <row r="1" spans="1:173" s="8" customFormat="1" ht="65.25" customHeight="1" x14ac:dyDescent="0.2">
      <c r="A1" s="222" t="s">
        <v>112</v>
      </c>
      <c r="B1" s="222"/>
      <c r="C1" s="222"/>
      <c r="D1" s="222"/>
      <c r="E1" s="17"/>
      <c r="F1" s="17"/>
      <c r="G1" s="17"/>
      <c r="H1" s="20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</row>
    <row r="2" spans="1:173" s="27" customFormat="1" ht="25.5" customHeight="1" x14ac:dyDescent="0.2">
      <c r="A2" s="77" t="s">
        <v>45</v>
      </c>
      <c r="B2" s="81" t="s">
        <v>46</v>
      </c>
      <c r="C2" s="82" t="s">
        <v>90</v>
      </c>
      <c r="D2" s="85" t="s">
        <v>108</v>
      </c>
      <c r="E2" s="80"/>
      <c r="F2" s="307" t="s">
        <v>50</v>
      </c>
      <c r="G2" s="308"/>
      <c r="H2" s="309"/>
      <c r="I2" s="307" t="s">
        <v>54</v>
      </c>
      <c r="J2" s="309"/>
      <c r="K2" s="36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</row>
    <row r="3" spans="1:173" s="78" customFormat="1" ht="15" customHeight="1" x14ac:dyDescent="0.2">
      <c r="A3" s="37">
        <v>37.5</v>
      </c>
      <c r="B3" s="71">
        <f>PARAMETROS!B8</f>
        <v>2464.5581544655834</v>
      </c>
      <c r="C3" s="72"/>
      <c r="D3" s="71">
        <v>749.9</v>
      </c>
      <c r="E3" s="34"/>
      <c r="F3" s="124" t="s">
        <v>49</v>
      </c>
      <c r="G3" s="124" t="s">
        <v>60</v>
      </c>
      <c r="H3" s="124" t="s">
        <v>61</v>
      </c>
      <c r="I3" s="125" t="s">
        <v>52</v>
      </c>
      <c r="J3" s="124" t="s">
        <v>53</v>
      </c>
      <c r="K3" s="27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</row>
    <row r="4" spans="1:173" s="79" customFormat="1" ht="15" customHeight="1" x14ac:dyDescent="0.2">
      <c r="A4" s="38">
        <v>36</v>
      </c>
      <c r="B4" s="73">
        <f>PRODUCT(PARAMETROS!B$8,A4)/A$3</f>
        <v>2365.9758282869602</v>
      </c>
      <c r="C4" s="74">
        <f t="shared" ref="C4:C39" si="0">(A4/$A$3*7.5*5)/7*30*$C$43</f>
        <v>1229.6571428571431</v>
      </c>
      <c r="D4" s="73">
        <f>IF(B4&lt;C4,C4*$H$18%,B4*$H$18%)</f>
        <v>787.16015807107158</v>
      </c>
      <c r="E4" s="34"/>
      <c r="F4" s="310">
        <v>5</v>
      </c>
      <c r="G4" s="226">
        <v>1323</v>
      </c>
      <c r="H4" s="275">
        <v>4909.5</v>
      </c>
      <c r="I4" s="230">
        <v>1323</v>
      </c>
      <c r="J4" s="312">
        <v>4909.5</v>
      </c>
      <c r="K4" s="8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</row>
    <row r="5" spans="1:173" s="79" customFormat="1" ht="15" customHeight="1" x14ac:dyDescent="0.2">
      <c r="A5" s="38">
        <v>35</v>
      </c>
      <c r="B5" s="73">
        <f>PRODUCT(PARAMETROS!B$8,A5)/A$3</f>
        <v>2300.2542775012112</v>
      </c>
      <c r="C5" s="74">
        <f t="shared" si="0"/>
        <v>1195.5</v>
      </c>
      <c r="D5" s="73">
        <f t="shared" ref="D5:D39" si="1">IF(B5&lt;C5,C5*$H$18%,B5*$H$18%)</f>
        <v>765.29459812465279</v>
      </c>
      <c r="E5" s="34"/>
      <c r="F5" s="311"/>
      <c r="G5" s="227"/>
      <c r="H5" s="275"/>
      <c r="I5" s="231"/>
      <c r="J5" s="312"/>
      <c r="K5" s="8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</row>
    <row r="6" spans="1:173" s="79" customFormat="1" ht="15" customHeight="1" x14ac:dyDescent="0.2">
      <c r="A6" s="38">
        <v>34</v>
      </c>
      <c r="B6" s="73">
        <f>PRODUCT(PARAMETROS!B$8,A6)/A$3</f>
        <v>2234.5327267154626</v>
      </c>
      <c r="C6" s="74">
        <f t="shared" si="0"/>
        <v>1161.3428571428569</v>
      </c>
      <c r="D6" s="73">
        <f t="shared" si="1"/>
        <v>743.42903817823424</v>
      </c>
      <c r="E6" s="34"/>
      <c r="F6" s="35"/>
      <c r="G6" s="8"/>
      <c r="H6" s="8"/>
      <c r="I6" s="115"/>
      <c r="J6" s="8"/>
      <c r="K6" s="8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</row>
    <row r="7" spans="1:173" s="79" customFormat="1" ht="15" customHeight="1" thickBot="1" x14ac:dyDescent="0.25">
      <c r="A7" s="38">
        <v>33</v>
      </c>
      <c r="B7" s="73">
        <f>PRODUCT(PARAMETROS!B$8,A7)/A$3</f>
        <v>2168.8111759297135</v>
      </c>
      <c r="C7" s="74">
        <f t="shared" si="0"/>
        <v>1127.1857142857143</v>
      </c>
      <c r="D7" s="73">
        <f t="shared" si="1"/>
        <v>721.56347823181557</v>
      </c>
      <c r="E7" s="34"/>
      <c r="F7" s="35"/>
      <c r="G7" s="19"/>
      <c r="H7" s="8"/>
      <c r="I7" s="115"/>
      <c r="J7" s="8"/>
      <c r="K7" s="8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</row>
    <row r="8" spans="1:173" s="79" customFormat="1" ht="15" customHeight="1" x14ac:dyDescent="0.2">
      <c r="A8" s="38">
        <v>32</v>
      </c>
      <c r="B8" s="73">
        <f>PRODUCT(PARAMETROS!B$8,A8)/A$3</f>
        <v>2103.0896251439644</v>
      </c>
      <c r="C8" s="74">
        <f t="shared" si="0"/>
        <v>1093.0285714285715</v>
      </c>
      <c r="D8" s="73">
        <f t="shared" si="1"/>
        <v>699.6979182853969</v>
      </c>
      <c r="E8" s="34"/>
      <c r="F8" s="236" t="s">
        <v>87</v>
      </c>
      <c r="G8" s="236"/>
      <c r="H8" s="237"/>
      <c r="I8" s="234">
        <v>0</v>
      </c>
      <c r="J8" s="8"/>
      <c r="K8" s="8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</row>
    <row r="9" spans="1:173" s="79" customFormat="1" ht="15" customHeight="1" thickBot="1" x14ac:dyDescent="0.25">
      <c r="A9" s="38">
        <v>31</v>
      </c>
      <c r="B9" s="73">
        <f>PRODUCT(PARAMETROS!B$8,A9)/A$3</f>
        <v>2037.3680743582154</v>
      </c>
      <c r="C9" s="74">
        <f t="shared" si="0"/>
        <v>1058.8714285714286</v>
      </c>
      <c r="D9" s="73">
        <f t="shared" si="1"/>
        <v>677.83235833897811</v>
      </c>
      <c r="E9" s="34"/>
      <c r="F9" s="236"/>
      <c r="G9" s="236"/>
      <c r="H9" s="237"/>
      <c r="I9" s="235"/>
      <c r="J9" s="8"/>
      <c r="K9" s="8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</row>
    <row r="10" spans="1:173" s="79" customFormat="1" ht="15" customHeight="1" thickBot="1" x14ac:dyDescent="0.25">
      <c r="A10" s="38">
        <v>30</v>
      </c>
      <c r="B10" s="73">
        <f>PRODUCT(PARAMETROS!B$8,A10)/A$3</f>
        <v>1971.6465235724665</v>
      </c>
      <c r="C10" s="74">
        <f t="shared" si="0"/>
        <v>1024.7142857142856</v>
      </c>
      <c r="D10" s="73">
        <f t="shared" si="1"/>
        <v>655.96679839255955</v>
      </c>
      <c r="E10" s="34"/>
      <c r="F10" s="120"/>
      <c r="G10" s="121"/>
      <c r="H10" s="122"/>
      <c r="I10" s="123"/>
      <c r="J10" s="8"/>
      <c r="K10" s="8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</row>
    <row r="11" spans="1:173" s="79" customFormat="1" ht="15" customHeight="1" x14ac:dyDescent="0.2">
      <c r="A11" s="38">
        <v>29</v>
      </c>
      <c r="B11" s="73">
        <f>PRODUCT(PARAMETROS!B$8,A11)/A$3</f>
        <v>1905.9249727867179</v>
      </c>
      <c r="C11" s="74">
        <f t="shared" si="0"/>
        <v>990.55714285714282</v>
      </c>
      <c r="D11" s="73">
        <f t="shared" si="1"/>
        <v>634.101238446141</v>
      </c>
      <c r="E11" s="34"/>
      <c r="F11" s="238" t="s">
        <v>62</v>
      </c>
      <c r="G11" s="239"/>
      <c r="H11" s="239"/>
      <c r="I11" s="240"/>
      <c r="J11" s="8"/>
      <c r="K11" s="8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</row>
    <row r="12" spans="1:173" s="79" customFormat="1" ht="15" customHeight="1" thickBot="1" x14ac:dyDescent="0.25">
      <c r="A12" s="38">
        <v>28</v>
      </c>
      <c r="B12" s="73">
        <f>PRODUCT(PARAMETROS!B$8,A12)/A$3</f>
        <v>1840.2034220009689</v>
      </c>
      <c r="C12" s="74">
        <f t="shared" si="0"/>
        <v>956.4000000000002</v>
      </c>
      <c r="D12" s="73">
        <f t="shared" si="1"/>
        <v>612.23567849972221</v>
      </c>
      <c r="E12" s="34"/>
      <c r="F12" s="241"/>
      <c r="G12" s="242"/>
      <c r="H12" s="242"/>
      <c r="I12" s="243"/>
      <c r="J12" s="8"/>
      <c r="K12" s="8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</row>
    <row r="13" spans="1:173" s="79" customFormat="1" ht="15" customHeight="1" thickBot="1" x14ac:dyDescent="0.25">
      <c r="A13" s="38">
        <v>27</v>
      </c>
      <c r="B13" s="73">
        <f>PRODUCT(PARAMETROS!B$8,A13)/A$3</f>
        <v>1774.4818712152198</v>
      </c>
      <c r="C13" s="74">
        <f t="shared" si="0"/>
        <v>922.24285714285702</v>
      </c>
      <c r="D13" s="73">
        <f t="shared" si="1"/>
        <v>590.37011855330354</v>
      </c>
      <c r="E13" s="34"/>
      <c r="F13" s="117"/>
      <c r="G13" s="135" t="s">
        <v>55</v>
      </c>
      <c r="H13" s="133" t="s">
        <v>56</v>
      </c>
      <c r="I13" s="142" t="s">
        <v>57</v>
      </c>
      <c r="J13" s="8"/>
      <c r="K13" s="8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</row>
    <row r="14" spans="1:173" s="79" customFormat="1" ht="15" customHeight="1" x14ac:dyDescent="0.2">
      <c r="A14" s="38">
        <v>26</v>
      </c>
      <c r="B14" s="73">
        <f>PRODUCT(PARAMETROS!B$8,A14)/A$3</f>
        <v>1708.7603204294712</v>
      </c>
      <c r="C14" s="74">
        <f t="shared" si="0"/>
        <v>888.08571428571429</v>
      </c>
      <c r="D14" s="73">
        <f t="shared" si="1"/>
        <v>568.50455860688498</v>
      </c>
      <c r="E14" s="34"/>
      <c r="F14" s="252" t="s">
        <v>58</v>
      </c>
      <c r="G14" s="246">
        <f>IF(I8&gt;=G4,I8,G4)</f>
        <v>1323</v>
      </c>
      <c r="H14" s="267">
        <v>24.27</v>
      </c>
      <c r="I14" s="250">
        <f>G14*H14%</f>
        <v>321.09210000000002</v>
      </c>
      <c r="J14" s="8"/>
      <c r="K14" s="8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</row>
    <row r="15" spans="1:173" s="79" customFormat="1" ht="15" customHeight="1" thickBot="1" x14ac:dyDescent="0.25">
      <c r="A15" s="38">
        <v>25</v>
      </c>
      <c r="B15" s="73">
        <f>PRODUCT(PARAMETROS!B$8,A15)/A$3</f>
        <v>1643.0387696437224</v>
      </c>
      <c r="C15" s="74">
        <f t="shared" si="0"/>
        <v>853.92857142857144</v>
      </c>
      <c r="D15" s="73">
        <f t="shared" si="1"/>
        <v>546.63899866046631</v>
      </c>
      <c r="E15" s="34"/>
      <c r="F15" s="253"/>
      <c r="G15" s="247"/>
      <c r="H15" s="268"/>
      <c r="I15" s="269"/>
      <c r="J15" s="8"/>
      <c r="K15" s="8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</row>
    <row r="16" spans="1:173" s="79" customFormat="1" ht="15" customHeight="1" x14ac:dyDescent="0.2">
      <c r="A16" s="38">
        <v>24</v>
      </c>
      <c r="B16" s="73">
        <f>PRODUCT(PARAMETROS!B$8,A16)/A$3</f>
        <v>1577.3172188579733</v>
      </c>
      <c r="C16" s="74">
        <f t="shared" si="0"/>
        <v>819.77142857142849</v>
      </c>
      <c r="D16" s="73">
        <f t="shared" si="1"/>
        <v>524.77343871404764</v>
      </c>
      <c r="E16" s="34"/>
      <c r="F16" s="252" t="s">
        <v>59</v>
      </c>
      <c r="G16" s="246">
        <f>IF(I8&gt;=I4,I8,I4)</f>
        <v>1323</v>
      </c>
      <c r="H16" s="267">
        <v>9</v>
      </c>
      <c r="I16" s="250">
        <f>G16*H16%</f>
        <v>119.07</v>
      </c>
      <c r="J16" s="8"/>
      <c r="K16" s="8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</row>
    <row r="17" spans="1:173" s="79" customFormat="1" ht="15" customHeight="1" thickBot="1" x14ac:dyDescent="0.25">
      <c r="A17" s="38">
        <v>23</v>
      </c>
      <c r="B17" s="73">
        <f>PRODUCT(PARAMETROS!B$8,A17)/A$3</f>
        <v>1511.5956680722243</v>
      </c>
      <c r="C17" s="74">
        <f t="shared" si="0"/>
        <v>785.61428571428564</v>
      </c>
      <c r="D17" s="73">
        <f t="shared" si="1"/>
        <v>502.90787876762892</v>
      </c>
      <c r="E17" s="34"/>
      <c r="F17" s="253"/>
      <c r="G17" s="247"/>
      <c r="H17" s="268"/>
      <c r="I17" s="269"/>
      <c r="J17" s="8"/>
      <c r="K17" s="8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</row>
    <row r="18" spans="1:173" s="79" customFormat="1" ht="15" customHeight="1" thickBot="1" x14ac:dyDescent="0.25">
      <c r="A18" s="38">
        <v>22</v>
      </c>
      <c r="B18" s="73">
        <f>PRODUCT(PARAMETROS!B$8,A18)/A$3</f>
        <v>1445.8741172864757</v>
      </c>
      <c r="C18" s="74">
        <f t="shared" si="0"/>
        <v>751.4571428571428</v>
      </c>
      <c r="D18" s="73">
        <f t="shared" si="1"/>
        <v>481.04231882121036</v>
      </c>
      <c r="E18" s="34"/>
      <c r="F18" s="232" t="s">
        <v>63</v>
      </c>
      <c r="G18" s="233"/>
      <c r="H18" s="134">
        <f>(H14+H16)</f>
        <v>33.269999999999996</v>
      </c>
      <c r="I18" s="130">
        <f>SUM(I14:I17)</f>
        <v>440.16210000000001</v>
      </c>
      <c r="J18" s="8"/>
      <c r="K18" s="8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</row>
    <row r="19" spans="1:173" s="79" customFormat="1" ht="15" customHeight="1" x14ac:dyDescent="0.2">
      <c r="A19" s="38">
        <v>21</v>
      </c>
      <c r="B19" s="73">
        <f>PRODUCT(PARAMETROS!B$8,A19)/A$3</f>
        <v>1380.1525665007268</v>
      </c>
      <c r="C19" s="74">
        <f t="shared" si="0"/>
        <v>717.3</v>
      </c>
      <c r="D19" s="73">
        <f t="shared" si="1"/>
        <v>459.17675887479174</v>
      </c>
      <c r="E19" s="34"/>
      <c r="F19" s="126"/>
      <c r="G19" s="127"/>
      <c r="H19" s="128"/>
      <c r="I19" s="129"/>
      <c r="J19" s="8"/>
      <c r="K19" s="8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</row>
    <row r="20" spans="1:173" s="79" customFormat="1" ht="15" customHeight="1" x14ac:dyDescent="0.2">
      <c r="A20" s="38">
        <v>20</v>
      </c>
      <c r="B20" s="73">
        <f>PRODUCT(PARAMETROS!B$8,A20)/A$3</f>
        <v>1314.4310157149778</v>
      </c>
      <c r="C20" s="74">
        <f t="shared" si="0"/>
        <v>683.14285714285722</v>
      </c>
      <c r="D20" s="73">
        <f t="shared" si="1"/>
        <v>437.31119892837302</v>
      </c>
      <c r="E20" s="34"/>
      <c r="F20" s="221" t="s">
        <v>76</v>
      </c>
      <c r="G20" s="221"/>
      <c r="H20" s="221"/>
      <c r="I20" s="221"/>
      <c r="J20" s="221"/>
      <c r="K20" s="147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</row>
    <row r="21" spans="1:173" s="79" customFormat="1" ht="15" customHeight="1" x14ac:dyDescent="0.2">
      <c r="A21" s="38">
        <v>19</v>
      </c>
      <c r="B21" s="73">
        <f>PRODUCT(PARAMETROS!B$8,A21)/A$3</f>
        <v>1248.7094649292287</v>
      </c>
      <c r="C21" s="74">
        <f t="shared" si="0"/>
        <v>648.98571428571427</v>
      </c>
      <c r="D21" s="73">
        <f t="shared" si="1"/>
        <v>415.44563898195435</v>
      </c>
      <c r="E21" s="34"/>
      <c r="F21" s="221"/>
      <c r="G21" s="221"/>
      <c r="H21" s="221"/>
      <c r="I21" s="221"/>
      <c r="J21" s="221"/>
      <c r="K21" s="147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</row>
    <row r="22" spans="1:173" s="79" customFormat="1" ht="15" customHeight="1" thickBot="1" x14ac:dyDescent="0.25">
      <c r="A22" s="38">
        <v>18</v>
      </c>
      <c r="B22" s="73">
        <f>PRODUCT(PARAMETROS!B$8,A22)/A$3</f>
        <v>1182.9879141434801</v>
      </c>
      <c r="C22" s="74">
        <f t="shared" si="0"/>
        <v>614.82857142857154</v>
      </c>
      <c r="D22" s="73">
        <f t="shared" si="1"/>
        <v>393.58007903553579</v>
      </c>
      <c r="E22" s="34"/>
      <c r="F22" s="35"/>
      <c r="G22" s="19"/>
      <c r="H22" s="8"/>
      <c r="I22" s="115"/>
      <c r="J22" s="8"/>
      <c r="K22" s="8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</row>
    <row r="23" spans="1:173" s="79" customFormat="1" ht="15" customHeight="1" x14ac:dyDescent="0.2">
      <c r="A23" s="38">
        <v>17</v>
      </c>
      <c r="B23" s="73">
        <f>PRODUCT(PARAMETROS!B$8,A23)/A$3</f>
        <v>1117.2663633577313</v>
      </c>
      <c r="C23" s="74">
        <f t="shared" si="0"/>
        <v>580.67142857142846</v>
      </c>
      <c r="D23" s="73">
        <f t="shared" si="1"/>
        <v>371.71451908911712</v>
      </c>
      <c r="E23" s="34"/>
      <c r="F23" s="236" t="s">
        <v>64</v>
      </c>
      <c r="G23" s="236"/>
      <c r="H23" s="237"/>
      <c r="I23" s="256">
        <v>0</v>
      </c>
      <c r="J23" s="8"/>
      <c r="K23" s="8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</row>
    <row r="24" spans="1:173" s="79" customFormat="1" ht="15" customHeight="1" thickBot="1" x14ac:dyDescent="0.25">
      <c r="A24" s="38">
        <v>16</v>
      </c>
      <c r="B24" s="73">
        <f>PRODUCT(PARAMETROS!B$8,A24)/A$3</f>
        <v>1051.5448125719822</v>
      </c>
      <c r="C24" s="74">
        <f t="shared" si="0"/>
        <v>546.51428571428573</v>
      </c>
      <c r="D24" s="73">
        <f t="shared" si="1"/>
        <v>349.84895914269845</v>
      </c>
      <c r="E24" s="34"/>
      <c r="F24" s="236"/>
      <c r="G24" s="236"/>
      <c r="H24" s="237"/>
      <c r="I24" s="257"/>
      <c r="J24" s="8"/>
      <c r="K24" s="8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</row>
    <row r="25" spans="1:173" s="79" customFormat="1" ht="15" customHeight="1" thickBot="1" x14ac:dyDescent="0.25">
      <c r="A25" s="38">
        <v>15</v>
      </c>
      <c r="B25" s="73">
        <f>PRODUCT(PARAMETROS!B$8,A25)/A$3</f>
        <v>985.82326178623327</v>
      </c>
      <c r="C25" s="74">
        <f t="shared" si="0"/>
        <v>512.35714285714278</v>
      </c>
      <c r="D25" s="73">
        <f t="shared" si="1"/>
        <v>327.98339919627978</v>
      </c>
      <c r="E25" s="34"/>
      <c r="F25" s="35"/>
      <c r="G25" s="19"/>
      <c r="H25" s="8"/>
      <c r="I25" s="115"/>
      <c r="J25" s="8"/>
      <c r="K25" s="8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</row>
    <row r="26" spans="1:173" s="79" customFormat="1" ht="15" customHeight="1" x14ac:dyDescent="0.2">
      <c r="A26" s="38">
        <v>14</v>
      </c>
      <c r="B26" s="73">
        <f>PRODUCT(PARAMETROS!B$8,A26)/A$3</f>
        <v>920.10171100048444</v>
      </c>
      <c r="C26" s="74">
        <f t="shared" si="0"/>
        <v>478.2000000000001</v>
      </c>
      <c r="D26" s="73">
        <f t="shared" si="1"/>
        <v>306.11783924986111</v>
      </c>
      <c r="E26" s="34"/>
      <c r="F26" s="236" t="s">
        <v>68</v>
      </c>
      <c r="G26" s="236"/>
      <c r="H26" s="237"/>
      <c r="I26" s="234">
        <v>0</v>
      </c>
      <c r="J26" s="8"/>
      <c r="K26" s="8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</row>
    <row r="27" spans="1:173" s="79" customFormat="1" ht="15" customHeight="1" thickBot="1" x14ac:dyDescent="0.25">
      <c r="A27" s="38">
        <v>13</v>
      </c>
      <c r="B27" s="73">
        <f>PRODUCT(PARAMETROS!B$8,A27)/A$3</f>
        <v>854.38016021473561</v>
      </c>
      <c r="C27" s="74">
        <f t="shared" si="0"/>
        <v>444.04285714285714</v>
      </c>
      <c r="D27" s="73">
        <f t="shared" si="1"/>
        <v>284.25227930344249</v>
      </c>
      <c r="E27" s="34"/>
      <c r="F27" s="236"/>
      <c r="G27" s="236"/>
      <c r="H27" s="237"/>
      <c r="I27" s="235"/>
      <c r="J27" s="8"/>
      <c r="K27" s="8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</row>
    <row r="28" spans="1:173" s="79" customFormat="1" ht="15" customHeight="1" thickBot="1" x14ac:dyDescent="0.25">
      <c r="A28" s="38">
        <v>12</v>
      </c>
      <c r="B28" s="73">
        <f>PRODUCT(PARAMETROS!B$8,A28)/A$3</f>
        <v>788.65860942898667</v>
      </c>
      <c r="C28" s="74">
        <f t="shared" si="0"/>
        <v>409.88571428571424</v>
      </c>
      <c r="D28" s="73">
        <f t="shared" si="1"/>
        <v>262.38671935702382</v>
      </c>
      <c r="E28" s="34"/>
      <c r="F28" s="35"/>
      <c r="G28" s="19"/>
      <c r="H28" s="8"/>
      <c r="I28" s="115"/>
      <c r="J28" s="8"/>
      <c r="K28" s="8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</row>
    <row r="29" spans="1:173" s="79" customFormat="1" ht="15" customHeight="1" x14ac:dyDescent="0.2">
      <c r="A29" s="38">
        <v>11</v>
      </c>
      <c r="B29" s="73">
        <f>PRODUCT(PARAMETROS!B$8,A29)/A$3</f>
        <v>722.93705864323783</v>
      </c>
      <c r="C29" s="74">
        <f t="shared" si="0"/>
        <v>375.7285714285714</v>
      </c>
      <c r="D29" s="73">
        <f t="shared" si="1"/>
        <v>240.52115941060518</v>
      </c>
      <c r="E29" s="34"/>
      <c r="F29" s="238" t="s">
        <v>65</v>
      </c>
      <c r="G29" s="239"/>
      <c r="H29" s="239"/>
      <c r="I29" s="240"/>
      <c r="J29" s="8"/>
      <c r="K29" s="8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</row>
    <row r="30" spans="1:173" s="79" customFormat="1" ht="15" customHeight="1" thickBot="1" x14ac:dyDescent="0.25">
      <c r="A30" s="38">
        <v>10</v>
      </c>
      <c r="B30" s="73">
        <f>PRODUCT(PARAMETROS!B$8,A30)/A$3</f>
        <v>657.21550785748889</v>
      </c>
      <c r="C30" s="74">
        <f t="shared" si="0"/>
        <v>341.57142857142861</v>
      </c>
      <c r="D30" s="73">
        <f t="shared" si="1"/>
        <v>218.65559946418651</v>
      </c>
      <c r="E30" s="34"/>
      <c r="F30" s="241"/>
      <c r="G30" s="242"/>
      <c r="H30" s="242"/>
      <c r="I30" s="243"/>
      <c r="J30" s="8"/>
      <c r="K30" s="8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</row>
    <row r="31" spans="1:173" s="79" customFormat="1" ht="15" customHeight="1" thickBot="1" x14ac:dyDescent="0.25">
      <c r="A31" s="38">
        <v>9</v>
      </c>
      <c r="B31" s="73">
        <f>PRODUCT(PARAMETROS!B$8,A31)/A$3</f>
        <v>591.49395707174006</v>
      </c>
      <c r="C31" s="74">
        <f t="shared" si="0"/>
        <v>307.41428571428577</v>
      </c>
      <c r="D31" s="73">
        <f t="shared" si="1"/>
        <v>196.79003951776789</v>
      </c>
      <c r="E31" s="34"/>
      <c r="F31" s="137" t="s">
        <v>69</v>
      </c>
      <c r="G31" s="135" t="s">
        <v>55</v>
      </c>
      <c r="H31" s="133" t="s">
        <v>70</v>
      </c>
      <c r="I31" s="119" t="s">
        <v>57</v>
      </c>
      <c r="J31" s="8"/>
      <c r="K31" s="8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</row>
    <row r="32" spans="1:173" s="79" customFormat="1" ht="15" customHeight="1" x14ac:dyDescent="0.2">
      <c r="A32" s="38">
        <v>8</v>
      </c>
      <c r="B32" s="73">
        <f>PRODUCT(PARAMETROS!B$8,A32)/A$3</f>
        <v>525.77240628599111</v>
      </c>
      <c r="C32" s="74">
        <f t="shared" si="0"/>
        <v>273.25714285714287</v>
      </c>
      <c r="D32" s="73">
        <f t="shared" si="1"/>
        <v>174.92447957134922</v>
      </c>
      <c r="E32" s="34"/>
      <c r="F32" s="306">
        <f>((I23/37.5*7.5*5)/7)*30*$C$43</f>
        <v>0</v>
      </c>
      <c r="G32" s="265">
        <f>IF(I26&lt;F32,F32,I26)</f>
        <v>0</v>
      </c>
      <c r="H32" s="267">
        <v>33.270000000000003</v>
      </c>
      <c r="I32" s="250">
        <f>G32*H32%</f>
        <v>0</v>
      </c>
      <c r="J32" s="8"/>
      <c r="K32" s="8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</row>
    <row r="33" spans="1:173" s="79" customFormat="1" ht="15" customHeight="1" thickBot="1" x14ac:dyDescent="0.25">
      <c r="A33" s="38">
        <v>7</v>
      </c>
      <c r="B33" s="73">
        <f>PRODUCT(PARAMETROS!B$8,A33)/A$3</f>
        <v>460.05085550024222</v>
      </c>
      <c r="C33" s="74">
        <f t="shared" si="0"/>
        <v>239.10000000000005</v>
      </c>
      <c r="D33" s="73">
        <f t="shared" si="1"/>
        <v>153.05891962493055</v>
      </c>
      <c r="E33" s="34"/>
      <c r="F33" s="264"/>
      <c r="G33" s="266"/>
      <c r="H33" s="268"/>
      <c r="I33" s="269"/>
      <c r="J33" s="8"/>
      <c r="K33" s="8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</row>
    <row r="34" spans="1:173" s="79" customFormat="1" ht="15" customHeight="1" thickBot="1" x14ac:dyDescent="0.25">
      <c r="A34" s="38">
        <v>6</v>
      </c>
      <c r="B34" s="73">
        <f>PRODUCT(PARAMETROS!B$8,A34)/A$3</f>
        <v>394.32930471449333</v>
      </c>
      <c r="C34" s="74">
        <f t="shared" si="0"/>
        <v>204.94285714285712</v>
      </c>
      <c r="D34" s="73">
        <f t="shared" si="1"/>
        <v>131.19335967851191</v>
      </c>
      <c r="E34" s="34"/>
      <c r="F34" s="258" t="s">
        <v>66</v>
      </c>
      <c r="G34" s="259"/>
      <c r="H34" s="260"/>
      <c r="I34" s="130">
        <f>SUM(I32)</f>
        <v>0</v>
      </c>
      <c r="J34" s="8"/>
      <c r="K34" s="8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</row>
    <row r="35" spans="1:173" s="79" customFormat="1" ht="15" customHeight="1" x14ac:dyDescent="0.2">
      <c r="A35" s="38">
        <v>5</v>
      </c>
      <c r="B35" s="73">
        <f>PRODUCT(PARAMETROS!B$8,A35)/A$3</f>
        <v>328.60775392874444</v>
      </c>
      <c r="C35" s="74">
        <f t="shared" si="0"/>
        <v>170.78571428571431</v>
      </c>
      <c r="D35" s="73">
        <f t="shared" si="1"/>
        <v>109.32779973209325</v>
      </c>
      <c r="E35" s="34"/>
      <c r="F35" s="35"/>
      <c r="G35" s="19"/>
      <c r="H35" s="8"/>
      <c r="I35" s="115"/>
      <c r="J35" s="8"/>
      <c r="K35" s="136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</row>
    <row r="36" spans="1:173" s="79" customFormat="1" ht="15" customHeight="1" x14ac:dyDescent="0.2">
      <c r="A36" s="38">
        <v>4</v>
      </c>
      <c r="B36" s="73">
        <f>PRODUCT(PARAMETROS!B$8,A36)/A$3</f>
        <v>262.88620314299556</v>
      </c>
      <c r="C36" s="74">
        <f t="shared" si="0"/>
        <v>136.62857142857143</v>
      </c>
      <c r="D36" s="73">
        <f t="shared" si="1"/>
        <v>87.462239785674612</v>
      </c>
      <c r="E36" s="34"/>
      <c r="F36" s="283" t="s">
        <v>67</v>
      </c>
      <c r="G36" s="283"/>
      <c r="H36" s="283"/>
      <c r="I36" s="262" t="s">
        <v>101</v>
      </c>
      <c r="J36" s="34"/>
      <c r="K36" s="136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</row>
    <row r="37" spans="1:173" s="79" customFormat="1" ht="15" customHeight="1" x14ac:dyDescent="0.2">
      <c r="A37" s="38">
        <v>3</v>
      </c>
      <c r="B37" s="73">
        <f>PRODUCT(PARAMETROS!B$8,A37)/A$3</f>
        <v>197.16465235724667</v>
      </c>
      <c r="C37" s="74">
        <f t="shared" si="0"/>
        <v>102.47142857142856</v>
      </c>
      <c r="D37" s="73">
        <f t="shared" si="1"/>
        <v>65.596679839255955</v>
      </c>
      <c r="E37" s="34"/>
      <c r="F37" s="283"/>
      <c r="G37" s="283"/>
      <c r="H37" s="283"/>
      <c r="I37" s="262"/>
      <c r="J37" s="34"/>
      <c r="K37" s="136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</row>
    <row r="38" spans="1:173" s="79" customFormat="1" ht="15" customHeight="1" x14ac:dyDescent="0.2">
      <c r="A38" s="38">
        <v>2</v>
      </c>
      <c r="B38" s="73">
        <f>PRODUCT(PARAMETROS!B$8,A38)/A$3</f>
        <v>131.44310157149778</v>
      </c>
      <c r="C38" s="74">
        <f t="shared" si="0"/>
        <v>68.314285714285717</v>
      </c>
      <c r="D38" s="73">
        <f t="shared" si="1"/>
        <v>43.731119892837306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</row>
    <row r="39" spans="1:173" s="79" customFormat="1" ht="15" customHeight="1" x14ac:dyDescent="0.2">
      <c r="A39" s="39">
        <v>1</v>
      </c>
      <c r="B39" s="75">
        <f>PRODUCT(PARAMETROS!B$8,A39)/A$3</f>
        <v>65.721550785748889</v>
      </c>
      <c r="C39" s="76">
        <f t="shared" si="0"/>
        <v>34.157142857142858</v>
      </c>
      <c r="D39" s="75">
        <f t="shared" si="1"/>
        <v>21.865559946418653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</row>
    <row r="41" spans="1:173" hidden="1" x14ac:dyDescent="0.2">
      <c r="C41" s="211" t="s">
        <v>93</v>
      </c>
    </row>
    <row r="42" spans="1:173" ht="13.5" hidden="1" thickBot="1" x14ac:dyDescent="0.25"/>
    <row r="43" spans="1:173" s="8" customFormat="1" ht="26.25" hidden="1" thickBot="1" x14ac:dyDescent="0.25">
      <c r="A43" s="33"/>
      <c r="B43" s="206" t="s">
        <v>34</v>
      </c>
      <c r="C43" s="207">
        <v>7.97</v>
      </c>
      <c r="D43" s="106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</row>
    <row r="44" spans="1:173" hidden="1" x14ac:dyDescent="0.2"/>
    <row r="45" spans="1:173" hidden="1" x14ac:dyDescent="0.2"/>
  </sheetData>
  <sheetProtection algorithmName="SHA-512" hashValue="AFIQ5VE8MqKdu0HLQQlljRbwIr5QGApIv1M4cpoG0H2p9rztdoj9uxzQBtqAHPybdju3hCgQWDxfT5XqTLhZXw==" saltValue="iWUqDpdr2FNl5bSWIYOAxg==" spinCount="100000" sheet="1" objects="1" scenarios="1"/>
  <protectedRanges>
    <protectedRange sqref="I36" name="CALCULO RC"/>
    <protectedRange sqref="I8" name="RET TC_1"/>
    <protectedRange sqref="I23" name="DED_1"/>
    <protectedRange sqref="I26" name="RET TP_1"/>
  </protectedRanges>
  <mergeCells count="33">
    <mergeCell ref="A1:D1"/>
    <mergeCell ref="F2:H2"/>
    <mergeCell ref="I2:J2"/>
    <mergeCell ref="F4:F5"/>
    <mergeCell ref="G4:G5"/>
    <mergeCell ref="H4:H5"/>
    <mergeCell ref="I4:I5"/>
    <mergeCell ref="J4:J5"/>
    <mergeCell ref="F8:H9"/>
    <mergeCell ref="I8:I9"/>
    <mergeCell ref="F11:I12"/>
    <mergeCell ref="F14:F15"/>
    <mergeCell ref="G14:G15"/>
    <mergeCell ref="H14:H15"/>
    <mergeCell ref="I14:I15"/>
    <mergeCell ref="F16:F17"/>
    <mergeCell ref="G16:G17"/>
    <mergeCell ref="H16:H17"/>
    <mergeCell ref="I16:I17"/>
    <mergeCell ref="F18:G18"/>
    <mergeCell ref="F20:J21"/>
    <mergeCell ref="F36:H37"/>
    <mergeCell ref="F34:H34"/>
    <mergeCell ref="I36:I37"/>
    <mergeCell ref="F29:I30"/>
    <mergeCell ref="F32:F33"/>
    <mergeCell ref="G32:G33"/>
    <mergeCell ref="H32:H33"/>
    <mergeCell ref="I32:I33"/>
    <mergeCell ref="F23:H24"/>
    <mergeCell ref="I23:I24"/>
    <mergeCell ref="F26:H27"/>
    <mergeCell ref="I26:I27"/>
  </mergeCells>
  <phoneticPr fontId="0" type="noConversion"/>
  <hyperlinks>
    <hyperlink ref="I36:I37" r:id="rId1" display="CALCULO RC" xr:uid="{00000000-0004-0000-0600-000000000000}"/>
  </hyperlinks>
  <printOptions horizontalCentered="1"/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N48"/>
  <sheetViews>
    <sheetView tabSelected="1" topLeftCell="A28" zoomScaleNormal="100" workbookViewId="0">
      <selection activeCell="I14" sqref="I14:I15"/>
    </sheetView>
  </sheetViews>
  <sheetFormatPr baseColWidth="10" defaultRowHeight="12.75" x14ac:dyDescent="0.2"/>
  <cols>
    <col min="1" max="1" width="25.28515625" style="1" bestFit="1" customWidth="1"/>
    <col min="2" max="2" width="33.42578125" style="1" customWidth="1"/>
    <col min="3" max="3" width="0.140625" style="3" hidden="1" customWidth="1"/>
    <col min="4" max="4" width="32.7109375" style="1" customWidth="1"/>
    <col min="5" max="5" width="13.42578125" customWidth="1"/>
    <col min="6" max="6" width="20.28515625" customWidth="1"/>
    <col min="7" max="7" width="26.42578125" bestFit="1" customWidth="1"/>
    <col min="8" max="8" width="26.7109375" customWidth="1"/>
    <col min="9" max="9" width="17" customWidth="1"/>
    <col min="10" max="10" width="15.28515625" bestFit="1" customWidth="1"/>
  </cols>
  <sheetData>
    <row r="1" spans="1:170" s="8" customFormat="1" ht="65.25" customHeight="1" x14ac:dyDescent="0.2">
      <c r="A1" s="222" t="s">
        <v>113</v>
      </c>
      <c r="B1" s="222"/>
      <c r="C1" s="222"/>
      <c r="D1" s="222"/>
      <c r="E1" s="20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</row>
    <row r="2" spans="1:170" s="27" customFormat="1" ht="25.5" x14ac:dyDescent="0.2">
      <c r="A2" s="40" t="s">
        <v>45</v>
      </c>
      <c r="B2" s="65" t="s">
        <v>46</v>
      </c>
      <c r="C2" s="86" t="s">
        <v>91</v>
      </c>
      <c r="D2" s="67" t="s">
        <v>108</v>
      </c>
      <c r="E2" s="17"/>
      <c r="F2" s="307" t="s">
        <v>50</v>
      </c>
      <c r="G2" s="308"/>
      <c r="H2" s="309"/>
      <c r="I2" s="307" t="s">
        <v>54</v>
      </c>
      <c r="J2" s="309"/>
      <c r="K2" s="36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</row>
    <row r="3" spans="1:170" ht="15" customHeight="1" x14ac:dyDescent="0.2">
      <c r="A3" s="37">
        <v>37.5</v>
      </c>
      <c r="B3" s="71">
        <f>PARAMETROS!B9</f>
        <v>2116.6066838563961</v>
      </c>
      <c r="C3" s="72"/>
      <c r="D3" s="71">
        <v>644.04</v>
      </c>
      <c r="F3" s="124" t="s">
        <v>49</v>
      </c>
      <c r="G3" s="124" t="s">
        <v>60</v>
      </c>
      <c r="H3" s="124" t="s">
        <v>61</v>
      </c>
      <c r="I3" s="125" t="s">
        <v>52</v>
      </c>
      <c r="J3" s="124" t="s">
        <v>53</v>
      </c>
      <c r="K3" s="27"/>
    </row>
    <row r="4" spans="1:170" ht="15" customHeight="1" x14ac:dyDescent="0.2">
      <c r="A4" s="38">
        <v>36</v>
      </c>
      <c r="B4" s="73">
        <f>PRODUCT(B$3,A4)/A$3</f>
        <v>2031.9424165021403</v>
      </c>
      <c r="C4" s="74">
        <f t="shared" ref="C4:C39" si="0">(A4/$A$3*7.5*5)/7*30*$C$43</f>
        <v>1229.6571428571431</v>
      </c>
      <c r="D4" s="73">
        <f>IF(B4&lt;C4,C4*$H$18%,B4*$H$18%)</f>
        <v>676.02724197026191</v>
      </c>
      <c r="F4" s="310">
        <v>7</v>
      </c>
      <c r="G4" s="226">
        <v>1323</v>
      </c>
      <c r="H4" s="226">
        <v>4909.5</v>
      </c>
      <c r="I4" s="230">
        <v>1323</v>
      </c>
      <c r="J4" s="230">
        <v>4909.5</v>
      </c>
      <c r="K4" s="8"/>
    </row>
    <row r="5" spans="1:170" ht="15" customHeight="1" x14ac:dyDescent="0.2">
      <c r="A5" s="38">
        <v>35</v>
      </c>
      <c r="B5" s="73">
        <f>PRODUCT(B$3,A5)/A$3</f>
        <v>1975.499571599303</v>
      </c>
      <c r="C5" s="74">
        <f t="shared" si="0"/>
        <v>1195.5</v>
      </c>
      <c r="D5" s="73">
        <f t="shared" ref="D5:D39" si="1">IF(B5&lt;C5,C5*$H$18%,B5*$H$18%)</f>
        <v>657.24870747108798</v>
      </c>
      <c r="F5" s="311"/>
      <c r="G5" s="227"/>
      <c r="H5" s="227"/>
      <c r="I5" s="231"/>
      <c r="J5" s="231"/>
      <c r="K5" s="8"/>
    </row>
    <row r="6" spans="1:170" ht="15" customHeight="1" x14ac:dyDescent="0.2">
      <c r="A6" s="38">
        <v>34</v>
      </c>
      <c r="B6" s="73">
        <f t="shared" ref="B6:B39" si="2">PRODUCT(B$3,A6)/A$3</f>
        <v>1919.0567266964656</v>
      </c>
      <c r="C6" s="74">
        <f t="shared" si="0"/>
        <v>1161.3428571428569</v>
      </c>
      <c r="D6" s="73">
        <f t="shared" si="1"/>
        <v>638.47017297191394</v>
      </c>
      <c r="F6" s="35"/>
      <c r="G6" s="8"/>
      <c r="H6" s="8"/>
      <c r="I6" s="115"/>
      <c r="J6" s="8"/>
      <c r="K6" s="8"/>
    </row>
    <row r="7" spans="1:170" ht="15" customHeight="1" thickBot="1" x14ac:dyDescent="0.25">
      <c r="A7" s="38">
        <v>33</v>
      </c>
      <c r="B7" s="73">
        <f t="shared" si="2"/>
        <v>1862.6138817936287</v>
      </c>
      <c r="C7" s="74">
        <f t="shared" si="0"/>
        <v>1127.1857142857143</v>
      </c>
      <c r="D7" s="73">
        <f t="shared" si="1"/>
        <v>619.69163847274012</v>
      </c>
      <c r="F7" s="35"/>
      <c r="G7" s="19"/>
      <c r="H7" s="8"/>
      <c r="I7" s="115"/>
      <c r="J7" s="8"/>
      <c r="K7" s="8"/>
    </row>
    <row r="8" spans="1:170" ht="15" customHeight="1" x14ac:dyDescent="0.2">
      <c r="A8" s="38">
        <v>32</v>
      </c>
      <c r="B8" s="73">
        <f t="shared" si="2"/>
        <v>1806.1710368907914</v>
      </c>
      <c r="C8" s="74">
        <f t="shared" si="0"/>
        <v>1093.0285714285715</v>
      </c>
      <c r="D8" s="73">
        <f t="shared" si="1"/>
        <v>600.91310397356619</v>
      </c>
      <c r="F8" s="236" t="s">
        <v>87</v>
      </c>
      <c r="G8" s="236"/>
      <c r="H8" s="237"/>
      <c r="I8" s="234">
        <v>0</v>
      </c>
      <c r="J8" s="8"/>
      <c r="K8" s="8"/>
    </row>
    <row r="9" spans="1:170" ht="15" customHeight="1" thickBot="1" x14ac:dyDescent="0.25">
      <c r="A9" s="38">
        <v>31</v>
      </c>
      <c r="B9" s="73">
        <f t="shared" si="2"/>
        <v>1749.728191987954</v>
      </c>
      <c r="C9" s="74">
        <f t="shared" si="0"/>
        <v>1058.8714285714286</v>
      </c>
      <c r="D9" s="73">
        <f t="shared" si="1"/>
        <v>582.13456947439215</v>
      </c>
      <c r="F9" s="236"/>
      <c r="G9" s="236"/>
      <c r="H9" s="237"/>
      <c r="I9" s="235"/>
      <c r="J9" s="8"/>
      <c r="K9" s="8"/>
    </row>
    <row r="10" spans="1:170" ht="15" customHeight="1" thickBot="1" x14ac:dyDescent="0.25">
      <c r="A10" s="38">
        <v>30</v>
      </c>
      <c r="B10" s="73">
        <f t="shared" si="2"/>
        <v>1693.2853470851169</v>
      </c>
      <c r="C10" s="74">
        <f t="shared" si="0"/>
        <v>1024.7142857142856</v>
      </c>
      <c r="D10" s="73">
        <f t="shared" si="1"/>
        <v>563.35603497521834</v>
      </c>
      <c r="F10" s="120"/>
      <c r="G10" s="121"/>
      <c r="H10" s="122"/>
      <c r="I10" s="123"/>
      <c r="J10" s="8"/>
      <c r="K10" s="8"/>
    </row>
    <row r="11" spans="1:170" ht="15" customHeight="1" x14ac:dyDescent="0.2">
      <c r="A11" s="38">
        <v>29</v>
      </c>
      <c r="B11" s="73">
        <f t="shared" si="2"/>
        <v>1636.8425021822798</v>
      </c>
      <c r="C11" s="74">
        <f t="shared" si="0"/>
        <v>990.55714285714282</v>
      </c>
      <c r="D11" s="73">
        <f t="shared" si="1"/>
        <v>544.57750047604441</v>
      </c>
      <c r="F11" s="238" t="s">
        <v>62</v>
      </c>
      <c r="G11" s="239"/>
      <c r="H11" s="239"/>
      <c r="I11" s="240"/>
      <c r="J11" s="8"/>
      <c r="K11" s="8"/>
    </row>
    <row r="12" spans="1:170" ht="15" customHeight="1" thickBot="1" x14ac:dyDescent="0.25">
      <c r="A12" s="38">
        <v>28</v>
      </c>
      <c r="B12" s="73">
        <f t="shared" si="2"/>
        <v>1580.3996572794424</v>
      </c>
      <c r="C12" s="74">
        <f t="shared" si="0"/>
        <v>956.4000000000002</v>
      </c>
      <c r="D12" s="73">
        <f t="shared" si="1"/>
        <v>525.79896597687036</v>
      </c>
      <c r="F12" s="241"/>
      <c r="G12" s="242"/>
      <c r="H12" s="242"/>
      <c r="I12" s="243"/>
      <c r="J12" s="8"/>
      <c r="K12" s="8"/>
    </row>
    <row r="13" spans="1:170" ht="15" customHeight="1" thickBot="1" x14ac:dyDescent="0.25">
      <c r="A13" s="38">
        <v>27</v>
      </c>
      <c r="B13" s="73">
        <f t="shared" si="2"/>
        <v>1523.9568123766053</v>
      </c>
      <c r="C13" s="74">
        <f t="shared" si="0"/>
        <v>922.24285714285702</v>
      </c>
      <c r="D13" s="73">
        <f t="shared" si="1"/>
        <v>507.02043147769649</v>
      </c>
      <c r="F13" s="117"/>
      <c r="G13" s="135" t="s">
        <v>55</v>
      </c>
      <c r="H13" s="133" t="s">
        <v>56</v>
      </c>
      <c r="I13" s="142" t="s">
        <v>57</v>
      </c>
      <c r="J13" s="8"/>
      <c r="K13" s="8"/>
    </row>
    <row r="14" spans="1:170" ht="15" customHeight="1" x14ac:dyDescent="0.2">
      <c r="A14" s="38">
        <v>26</v>
      </c>
      <c r="B14" s="73">
        <f t="shared" si="2"/>
        <v>1467.5139674737679</v>
      </c>
      <c r="C14" s="74">
        <f t="shared" si="0"/>
        <v>888.08571428571429</v>
      </c>
      <c r="D14" s="73">
        <f t="shared" si="1"/>
        <v>488.2418969785225</v>
      </c>
      <c r="F14" s="252" t="s">
        <v>58</v>
      </c>
      <c r="G14" s="246">
        <f>IF(I8&gt;=G4,I8,G4)</f>
        <v>1323</v>
      </c>
      <c r="H14" s="267">
        <v>24.27</v>
      </c>
      <c r="I14" s="250">
        <f>G14*H14%</f>
        <v>321.09210000000002</v>
      </c>
      <c r="J14" s="8"/>
      <c r="K14" s="8"/>
    </row>
    <row r="15" spans="1:170" ht="15" customHeight="1" thickBot="1" x14ac:dyDescent="0.25">
      <c r="A15" s="38">
        <v>25</v>
      </c>
      <c r="B15" s="73">
        <f t="shared" si="2"/>
        <v>1411.0711225709308</v>
      </c>
      <c r="C15" s="74">
        <f t="shared" si="0"/>
        <v>853.92857142857144</v>
      </c>
      <c r="D15" s="73">
        <f t="shared" si="1"/>
        <v>469.46336247934858</v>
      </c>
      <c r="F15" s="253"/>
      <c r="G15" s="247"/>
      <c r="H15" s="268"/>
      <c r="I15" s="269"/>
      <c r="J15" s="8"/>
      <c r="K15" s="8"/>
    </row>
    <row r="16" spans="1:170" ht="15" customHeight="1" x14ac:dyDescent="0.2">
      <c r="A16" s="38">
        <v>24</v>
      </c>
      <c r="B16" s="73">
        <f t="shared" si="2"/>
        <v>1354.6282776680935</v>
      </c>
      <c r="C16" s="74">
        <f t="shared" si="0"/>
        <v>819.77142857142849</v>
      </c>
      <c r="D16" s="73">
        <f t="shared" si="1"/>
        <v>450.68482798017459</v>
      </c>
      <c r="F16" s="252" t="s">
        <v>59</v>
      </c>
      <c r="G16" s="246">
        <f>IF(I8&gt;=I4,I8,I4)</f>
        <v>1323</v>
      </c>
      <c r="H16" s="267">
        <v>9</v>
      </c>
      <c r="I16" s="250">
        <f>G16*H16%</f>
        <v>119.07</v>
      </c>
      <c r="J16" s="8"/>
      <c r="K16" s="8"/>
    </row>
    <row r="17" spans="1:11" ht="15" customHeight="1" thickBot="1" x14ac:dyDescent="0.25">
      <c r="A17" s="38">
        <v>23</v>
      </c>
      <c r="B17" s="73">
        <f t="shared" si="2"/>
        <v>1298.1854327652563</v>
      </c>
      <c r="C17" s="74">
        <f t="shared" si="0"/>
        <v>785.61428571428564</v>
      </c>
      <c r="D17" s="73">
        <f t="shared" si="1"/>
        <v>431.90629348100072</v>
      </c>
      <c r="F17" s="253"/>
      <c r="G17" s="247"/>
      <c r="H17" s="268"/>
      <c r="I17" s="269"/>
      <c r="J17" s="8"/>
      <c r="K17" s="8"/>
    </row>
    <row r="18" spans="1:11" ht="15" customHeight="1" thickBot="1" x14ac:dyDescent="0.25">
      <c r="A18" s="38">
        <v>22</v>
      </c>
      <c r="B18" s="73">
        <f t="shared" si="2"/>
        <v>1241.7425878624192</v>
      </c>
      <c r="C18" s="74">
        <f t="shared" si="0"/>
        <v>751.4571428571428</v>
      </c>
      <c r="D18" s="73">
        <f t="shared" si="1"/>
        <v>413.12775898182679</v>
      </c>
      <c r="F18" s="232" t="s">
        <v>63</v>
      </c>
      <c r="G18" s="233"/>
      <c r="H18" s="134">
        <f>(H14+H16)</f>
        <v>33.269999999999996</v>
      </c>
      <c r="I18" s="130">
        <f>SUM(I14:I17)</f>
        <v>440.16210000000001</v>
      </c>
      <c r="J18" s="8"/>
      <c r="K18" s="8"/>
    </row>
    <row r="19" spans="1:11" ht="15" customHeight="1" x14ac:dyDescent="0.2">
      <c r="A19" s="38">
        <v>21</v>
      </c>
      <c r="B19" s="73">
        <f t="shared" si="2"/>
        <v>1185.2997429595819</v>
      </c>
      <c r="C19" s="74">
        <f t="shared" si="0"/>
        <v>717.3</v>
      </c>
      <c r="D19" s="73">
        <f t="shared" si="1"/>
        <v>394.3492244826528</v>
      </c>
      <c r="F19" s="126"/>
      <c r="G19" s="127"/>
      <c r="H19" s="128"/>
      <c r="I19" s="129"/>
      <c r="J19" s="8"/>
      <c r="K19" s="8"/>
    </row>
    <row r="20" spans="1:11" ht="15" customHeight="1" x14ac:dyDescent="0.2">
      <c r="A20" s="38">
        <v>20</v>
      </c>
      <c r="B20" s="73">
        <f t="shared" si="2"/>
        <v>1128.8568980567447</v>
      </c>
      <c r="C20" s="74">
        <f t="shared" si="0"/>
        <v>683.14285714285722</v>
      </c>
      <c r="D20" s="73">
        <f t="shared" si="1"/>
        <v>375.57068998347893</v>
      </c>
      <c r="F20" s="221" t="s">
        <v>76</v>
      </c>
      <c r="G20" s="221"/>
      <c r="H20" s="221"/>
      <c r="I20" s="221"/>
      <c r="J20" s="221"/>
      <c r="K20" s="147"/>
    </row>
    <row r="21" spans="1:11" ht="15" customHeight="1" x14ac:dyDescent="0.2">
      <c r="A21" s="38">
        <v>19</v>
      </c>
      <c r="B21" s="73">
        <f t="shared" si="2"/>
        <v>1072.4140531539074</v>
      </c>
      <c r="C21" s="74">
        <f t="shared" si="0"/>
        <v>648.98571428571427</v>
      </c>
      <c r="D21" s="73">
        <f t="shared" si="1"/>
        <v>356.79215548430494</v>
      </c>
      <c r="F21" s="221"/>
      <c r="G21" s="221"/>
      <c r="H21" s="221"/>
      <c r="I21" s="221"/>
      <c r="J21" s="221"/>
      <c r="K21" s="147"/>
    </row>
    <row r="22" spans="1:11" ht="15" customHeight="1" thickBot="1" x14ac:dyDescent="0.25">
      <c r="A22" s="38">
        <v>18</v>
      </c>
      <c r="B22" s="73">
        <f t="shared" si="2"/>
        <v>1015.9712082510702</v>
      </c>
      <c r="C22" s="74">
        <f t="shared" si="0"/>
        <v>614.82857142857154</v>
      </c>
      <c r="D22" s="73">
        <f t="shared" si="1"/>
        <v>338.01362098513096</v>
      </c>
      <c r="F22" s="35"/>
      <c r="G22" s="19"/>
      <c r="H22" s="8"/>
      <c r="I22" s="115"/>
      <c r="J22" s="8"/>
      <c r="K22" s="8"/>
    </row>
    <row r="23" spans="1:11" ht="15" customHeight="1" x14ac:dyDescent="0.2">
      <c r="A23" s="38">
        <v>17</v>
      </c>
      <c r="B23" s="73">
        <f t="shared" si="2"/>
        <v>959.5283633482328</v>
      </c>
      <c r="C23" s="74">
        <f t="shared" si="0"/>
        <v>580.67142857142846</v>
      </c>
      <c r="D23" s="73">
        <f t="shared" si="1"/>
        <v>319.23508648595697</v>
      </c>
      <c r="F23" s="236" t="s">
        <v>64</v>
      </c>
      <c r="G23" s="236"/>
      <c r="H23" s="237"/>
      <c r="I23" s="256">
        <v>0</v>
      </c>
      <c r="J23" s="8"/>
      <c r="K23" s="8"/>
    </row>
    <row r="24" spans="1:11" ht="15" customHeight="1" thickBot="1" x14ac:dyDescent="0.25">
      <c r="A24" s="38">
        <v>16</v>
      </c>
      <c r="B24" s="73">
        <f t="shared" si="2"/>
        <v>903.08551844539568</v>
      </c>
      <c r="C24" s="74">
        <f t="shared" si="0"/>
        <v>546.51428571428573</v>
      </c>
      <c r="D24" s="73">
        <f t="shared" si="1"/>
        <v>300.4565519867831</v>
      </c>
      <c r="F24" s="236"/>
      <c r="G24" s="236"/>
      <c r="H24" s="237"/>
      <c r="I24" s="257"/>
      <c r="J24" s="8"/>
      <c r="K24" s="8"/>
    </row>
    <row r="25" spans="1:11" ht="15" customHeight="1" thickBot="1" x14ac:dyDescent="0.25">
      <c r="A25" s="38">
        <v>15</v>
      </c>
      <c r="B25" s="73">
        <f t="shared" si="2"/>
        <v>846.64267354255844</v>
      </c>
      <c r="C25" s="74">
        <f t="shared" si="0"/>
        <v>512.35714285714278</v>
      </c>
      <c r="D25" s="73">
        <f t="shared" si="1"/>
        <v>281.67801748760917</v>
      </c>
      <c r="F25" s="35"/>
      <c r="G25" s="19"/>
      <c r="H25" s="8"/>
      <c r="I25" s="115"/>
      <c r="J25" s="8"/>
      <c r="K25" s="8"/>
    </row>
    <row r="26" spans="1:11" ht="15" customHeight="1" x14ac:dyDescent="0.2">
      <c r="A26" s="38">
        <v>14</v>
      </c>
      <c r="B26" s="73">
        <f t="shared" si="2"/>
        <v>790.1998286397212</v>
      </c>
      <c r="C26" s="74">
        <f t="shared" si="0"/>
        <v>478.2000000000001</v>
      </c>
      <c r="D26" s="73">
        <f t="shared" si="1"/>
        <v>262.89948298843518</v>
      </c>
      <c r="F26" s="236" t="s">
        <v>68</v>
      </c>
      <c r="G26" s="236"/>
      <c r="H26" s="237"/>
      <c r="I26" s="234">
        <v>0</v>
      </c>
      <c r="J26" s="8"/>
      <c r="K26" s="8"/>
    </row>
    <row r="27" spans="1:11" ht="15" customHeight="1" thickBot="1" x14ac:dyDescent="0.25">
      <c r="A27" s="38">
        <v>13</v>
      </c>
      <c r="B27" s="73">
        <f t="shared" si="2"/>
        <v>733.75698373688397</v>
      </c>
      <c r="C27" s="74">
        <f t="shared" si="0"/>
        <v>444.04285714285714</v>
      </c>
      <c r="D27" s="73">
        <f t="shared" si="1"/>
        <v>244.12094848926125</v>
      </c>
      <c r="F27" s="236"/>
      <c r="G27" s="236"/>
      <c r="H27" s="237"/>
      <c r="I27" s="235"/>
      <c r="J27" s="8"/>
      <c r="K27" s="8"/>
    </row>
    <row r="28" spans="1:11" ht="15" customHeight="1" thickBot="1" x14ac:dyDescent="0.25">
      <c r="A28" s="38">
        <v>12</v>
      </c>
      <c r="B28" s="73">
        <f t="shared" si="2"/>
        <v>677.31413883404673</v>
      </c>
      <c r="C28" s="74">
        <f t="shared" si="0"/>
        <v>409.88571428571424</v>
      </c>
      <c r="D28" s="73">
        <f t="shared" si="1"/>
        <v>225.34241399008729</v>
      </c>
      <c r="F28" s="35"/>
      <c r="G28" s="19"/>
      <c r="H28" s="8"/>
      <c r="I28" s="115"/>
      <c r="J28" s="8"/>
      <c r="K28" s="8"/>
    </row>
    <row r="29" spans="1:11" ht="15" customHeight="1" x14ac:dyDescent="0.2">
      <c r="A29" s="38">
        <v>11</v>
      </c>
      <c r="B29" s="73">
        <f t="shared" si="2"/>
        <v>620.87129393120961</v>
      </c>
      <c r="C29" s="74">
        <f t="shared" si="0"/>
        <v>375.7285714285714</v>
      </c>
      <c r="D29" s="73">
        <f t="shared" si="1"/>
        <v>206.56387949091339</v>
      </c>
      <c r="F29" s="238" t="s">
        <v>65</v>
      </c>
      <c r="G29" s="239"/>
      <c r="H29" s="239"/>
      <c r="I29" s="240"/>
      <c r="J29" s="8"/>
      <c r="K29" s="8"/>
    </row>
    <row r="30" spans="1:11" ht="15" customHeight="1" thickBot="1" x14ac:dyDescent="0.25">
      <c r="A30" s="38">
        <v>10</v>
      </c>
      <c r="B30" s="73">
        <f t="shared" si="2"/>
        <v>564.42844902837237</v>
      </c>
      <c r="C30" s="74">
        <f t="shared" si="0"/>
        <v>341.57142857142861</v>
      </c>
      <c r="D30" s="73">
        <f t="shared" si="1"/>
        <v>187.78534499173946</v>
      </c>
      <c r="F30" s="241"/>
      <c r="G30" s="242"/>
      <c r="H30" s="242"/>
      <c r="I30" s="243"/>
      <c r="J30" s="8"/>
      <c r="K30" s="8"/>
    </row>
    <row r="31" spans="1:11" ht="15" customHeight="1" thickBot="1" x14ac:dyDescent="0.25">
      <c r="A31" s="38">
        <v>9</v>
      </c>
      <c r="B31" s="73">
        <f t="shared" si="2"/>
        <v>507.98560412553508</v>
      </c>
      <c r="C31" s="74">
        <f t="shared" si="0"/>
        <v>307.41428571428577</v>
      </c>
      <c r="D31" s="73">
        <f t="shared" si="1"/>
        <v>169.00681049256548</v>
      </c>
      <c r="F31" s="137" t="s">
        <v>69</v>
      </c>
      <c r="G31" s="135" t="s">
        <v>55</v>
      </c>
      <c r="H31" s="133" t="s">
        <v>70</v>
      </c>
      <c r="I31" s="119" t="s">
        <v>57</v>
      </c>
      <c r="J31" s="8"/>
      <c r="K31" s="8"/>
    </row>
    <row r="32" spans="1:11" ht="15" customHeight="1" x14ac:dyDescent="0.2">
      <c r="A32" s="38">
        <v>8</v>
      </c>
      <c r="B32" s="73">
        <f t="shared" si="2"/>
        <v>451.54275922269784</v>
      </c>
      <c r="C32" s="74">
        <f t="shared" si="0"/>
        <v>273.25714285714287</v>
      </c>
      <c r="D32" s="73">
        <f t="shared" si="1"/>
        <v>150.22827599339155</v>
      </c>
      <c r="F32" s="306">
        <f>((I23/37.5*7.5*5)/7)*30*$C$43</f>
        <v>0</v>
      </c>
      <c r="G32" s="265">
        <f>IF(I26&lt;F32,F32,I26)</f>
        <v>0</v>
      </c>
      <c r="H32" s="267">
        <v>33.270000000000003</v>
      </c>
      <c r="I32" s="250">
        <f>G32*H32%</f>
        <v>0</v>
      </c>
      <c r="J32" s="8"/>
      <c r="K32" s="8"/>
    </row>
    <row r="33" spans="1:11" ht="15" customHeight="1" thickBot="1" x14ac:dyDescent="0.25">
      <c r="A33" s="38">
        <v>7</v>
      </c>
      <c r="B33" s="73">
        <f t="shared" si="2"/>
        <v>395.0999143198606</v>
      </c>
      <c r="C33" s="74">
        <f t="shared" si="0"/>
        <v>239.10000000000005</v>
      </c>
      <c r="D33" s="73">
        <f t="shared" si="1"/>
        <v>131.44974149421759</v>
      </c>
      <c r="F33" s="264"/>
      <c r="G33" s="266"/>
      <c r="H33" s="268"/>
      <c r="I33" s="269"/>
      <c r="J33" s="8"/>
      <c r="K33" s="8"/>
    </row>
    <row r="34" spans="1:11" ht="15" customHeight="1" thickBot="1" x14ac:dyDescent="0.25">
      <c r="A34" s="38">
        <v>6</v>
      </c>
      <c r="B34" s="73">
        <f t="shared" si="2"/>
        <v>338.65706941702337</v>
      </c>
      <c r="C34" s="74">
        <f t="shared" si="0"/>
        <v>204.94285714285712</v>
      </c>
      <c r="D34" s="73">
        <f t="shared" si="1"/>
        <v>112.67120699504365</v>
      </c>
      <c r="F34" s="258" t="s">
        <v>66</v>
      </c>
      <c r="G34" s="259"/>
      <c r="H34" s="260"/>
      <c r="I34" s="130">
        <f>SUM(I32)</f>
        <v>0</v>
      </c>
      <c r="J34" s="8"/>
      <c r="K34" s="8"/>
    </row>
    <row r="35" spans="1:11" ht="15" customHeight="1" x14ac:dyDescent="0.2">
      <c r="A35" s="38">
        <v>5</v>
      </c>
      <c r="B35" s="73">
        <f t="shared" si="2"/>
        <v>282.21422451418618</v>
      </c>
      <c r="C35" s="74">
        <f t="shared" si="0"/>
        <v>170.78571428571431</v>
      </c>
      <c r="D35" s="73">
        <f t="shared" si="1"/>
        <v>93.892672495869732</v>
      </c>
      <c r="F35" s="35"/>
      <c r="G35" s="19"/>
      <c r="H35" s="8"/>
      <c r="I35" s="115"/>
      <c r="J35" s="8"/>
      <c r="K35" s="136"/>
    </row>
    <row r="36" spans="1:11" ht="15" customHeight="1" x14ac:dyDescent="0.2">
      <c r="A36" s="38">
        <v>4</v>
      </c>
      <c r="B36" s="73">
        <f t="shared" si="2"/>
        <v>225.77137961134892</v>
      </c>
      <c r="C36" s="74">
        <f t="shared" si="0"/>
        <v>136.62857142857143</v>
      </c>
      <c r="D36" s="73">
        <f t="shared" si="1"/>
        <v>75.114137996695774</v>
      </c>
      <c r="F36" s="283" t="s">
        <v>67</v>
      </c>
      <c r="G36" s="283"/>
      <c r="H36" s="283"/>
      <c r="I36" s="262" t="s">
        <v>101</v>
      </c>
      <c r="K36" s="136"/>
    </row>
    <row r="37" spans="1:11" ht="15" customHeight="1" x14ac:dyDescent="0.2">
      <c r="A37" s="38">
        <v>3</v>
      </c>
      <c r="B37" s="73">
        <f t="shared" si="2"/>
        <v>169.32853470851168</v>
      </c>
      <c r="C37" s="74">
        <f t="shared" si="0"/>
        <v>102.47142857142856</v>
      </c>
      <c r="D37" s="73">
        <f t="shared" si="1"/>
        <v>56.335603497521824</v>
      </c>
      <c r="F37" s="283"/>
      <c r="G37" s="283"/>
      <c r="H37" s="283"/>
      <c r="I37" s="262"/>
      <c r="K37" s="136"/>
    </row>
    <row r="38" spans="1:11" ht="15" customHeight="1" x14ac:dyDescent="0.2">
      <c r="A38" s="38">
        <v>2</v>
      </c>
      <c r="B38" s="73">
        <f t="shared" si="2"/>
        <v>112.88568980567446</v>
      </c>
      <c r="C38" s="74">
        <f t="shared" si="0"/>
        <v>68.314285714285717</v>
      </c>
      <c r="D38" s="73">
        <f t="shared" si="1"/>
        <v>37.557068998347887</v>
      </c>
    </row>
    <row r="39" spans="1:11" ht="15" customHeight="1" x14ac:dyDescent="0.2">
      <c r="A39" s="39">
        <v>1</v>
      </c>
      <c r="B39" s="75">
        <f t="shared" si="2"/>
        <v>56.44284490283723</v>
      </c>
      <c r="C39" s="76">
        <f t="shared" si="0"/>
        <v>34.157142857142858</v>
      </c>
      <c r="D39" s="75">
        <f t="shared" si="1"/>
        <v>18.778534499173944</v>
      </c>
    </row>
    <row r="41" spans="1:11" hidden="1" x14ac:dyDescent="0.2">
      <c r="C41" s="212" t="s">
        <v>93</v>
      </c>
    </row>
    <row r="42" spans="1:11" ht="13.5" hidden="1" thickBot="1" x14ac:dyDescent="0.25"/>
    <row r="43" spans="1:11" ht="36" hidden="1" customHeight="1" thickBot="1" x14ac:dyDescent="0.25">
      <c r="B43" s="208" t="s">
        <v>17</v>
      </c>
      <c r="C43" s="209">
        <v>7.97</v>
      </c>
    </row>
    <row r="44" spans="1:11" hidden="1" x14ac:dyDescent="0.2"/>
    <row r="45" spans="1:11" hidden="1" x14ac:dyDescent="0.2"/>
    <row r="46" spans="1:11" hidden="1" x14ac:dyDescent="0.2"/>
    <row r="47" spans="1:11" hidden="1" x14ac:dyDescent="0.2"/>
    <row r="48" spans="1:11" hidden="1" x14ac:dyDescent="0.2"/>
  </sheetData>
  <sheetProtection algorithmName="SHA-512" hashValue="w3/bDryVHliUR092UmS5V4jbGQjiOVX4kk7a6PqsbIS2flJFHahsKs9193vEH9fGsRrOR26zOV7VU2vsjOpWuw==" saltValue="308I7or/qJ90ulxYfMR56g==" spinCount="100000" sheet="1" objects="1" scenarios="1"/>
  <protectedRanges>
    <protectedRange sqref="I36" name="CALCULO RC"/>
    <protectedRange sqref="I8" name="RET TP_1"/>
    <protectedRange sqref="I23" name="DED_1"/>
    <protectedRange sqref="I26" name="RET TP_2"/>
  </protectedRanges>
  <mergeCells count="33">
    <mergeCell ref="A1:D1"/>
    <mergeCell ref="F2:H2"/>
    <mergeCell ref="I2:J2"/>
    <mergeCell ref="F4:F5"/>
    <mergeCell ref="G4:G5"/>
    <mergeCell ref="H4:H5"/>
    <mergeCell ref="I4:I5"/>
    <mergeCell ref="J4:J5"/>
    <mergeCell ref="I16:I17"/>
    <mergeCell ref="F18:G18"/>
    <mergeCell ref="F8:H9"/>
    <mergeCell ref="I8:I9"/>
    <mergeCell ref="F11:I12"/>
    <mergeCell ref="F14:F15"/>
    <mergeCell ref="G14:G15"/>
    <mergeCell ref="H14:H15"/>
    <mergeCell ref="I14:I15"/>
    <mergeCell ref="I36:I37"/>
    <mergeCell ref="H16:H17"/>
    <mergeCell ref="F36:H37"/>
    <mergeCell ref="F20:J21"/>
    <mergeCell ref="F32:F33"/>
    <mergeCell ref="G32:G33"/>
    <mergeCell ref="H32:H33"/>
    <mergeCell ref="I32:I33"/>
    <mergeCell ref="F34:H34"/>
    <mergeCell ref="F23:H24"/>
    <mergeCell ref="I23:I24"/>
    <mergeCell ref="F26:H27"/>
    <mergeCell ref="I26:I27"/>
    <mergeCell ref="F29:I30"/>
    <mergeCell ref="F16:F17"/>
    <mergeCell ref="G16:G17"/>
  </mergeCells>
  <phoneticPr fontId="0" type="noConversion"/>
  <hyperlinks>
    <hyperlink ref="I36:I37" r:id="rId1" display="CALCULO RC" xr:uid="{00000000-0004-0000-0700-000000000000}"/>
  </hyperlinks>
  <printOptions horizontalCentered="1"/>
  <pageMargins left="1.71875" right="0.94488188976377963" top="0" bottom="0.39370078740157483" header="0" footer="0"/>
  <pageSetup paperSize="9" orientation="landscape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/>
  <dimension ref="A1:K66"/>
  <sheetViews>
    <sheetView topLeftCell="A7" zoomScale="84" zoomScaleNormal="84" workbookViewId="0">
      <selection activeCell="I30" sqref="I30"/>
    </sheetView>
  </sheetViews>
  <sheetFormatPr baseColWidth="10" defaultColWidth="11.42578125" defaultRowHeight="12.75" x14ac:dyDescent="0.2"/>
  <cols>
    <col min="1" max="1" width="35.5703125" style="8" customWidth="1"/>
    <col min="2" max="3" width="18.28515625" style="99" customWidth="1"/>
    <col min="4" max="4" width="23.5703125" style="8" bestFit="1" customWidth="1"/>
    <col min="5" max="5" width="34.7109375" style="8" customWidth="1"/>
    <col min="6" max="6" width="11.42578125" style="8"/>
    <col min="7" max="7" width="32" style="8" bestFit="1" customWidth="1"/>
    <col min="8" max="8" width="14.42578125" style="94" bestFit="1" customWidth="1"/>
    <col min="9" max="9" width="11.42578125" style="8"/>
    <col min="10" max="11" width="20.7109375" style="8" bestFit="1" customWidth="1"/>
    <col min="12" max="16384" width="11.42578125" style="8"/>
  </cols>
  <sheetData>
    <row r="1" spans="1:8" s="21" customFormat="1" ht="26.25" thickBot="1" x14ac:dyDescent="0.25">
      <c r="A1" s="26" t="s">
        <v>0</v>
      </c>
      <c r="B1" s="87" t="s">
        <v>12</v>
      </c>
      <c r="C1" s="87" t="s">
        <v>10</v>
      </c>
      <c r="H1" s="89"/>
    </row>
    <row r="2" spans="1:8" ht="16.5" customHeight="1" x14ac:dyDescent="0.2">
      <c r="A2" s="11" t="s">
        <v>33</v>
      </c>
      <c r="B2" s="96">
        <f>B16</f>
        <v>2799.827692075</v>
      </c>
      <c r="C2" s="96">
        <f>C16</f>
        <v>36398.808738600004</v>
      </c>
      <c r="D2" s="9"/>
      <c r="E2" s="9"/>
      <c r="G2" s="10"/>
      <c r="H2" s="90"/>
    </row>
    <row r="3" spans="1:8" ht="16.5" customHeight="1" x14ac:dyDescent="0.2">
      <c r="A3" s="11" t="s">
        <v>32</v>
      </c>
      <c r="B3" s="96">
        <f>B23</f>
        <v>2299.8590519250001</v>
      </c>
      <c r="C3" s="96">
        <f>C23</f>
        <v>2989.8152879499999</v>
      </c>
      <c r="D3" s="9"/>
      <c r="E3" s="9"/>
      <c r="G3" s="10"/>
      <c r="H3" s="90"/>
    </row>
    <row r="4" spans="1:8" ht="16.5" customHeight="1" x14ac:dyDescent="0.2">
      <c r="A4" s="11" t="s">
        <v>31</v>
      </c>
      <c r="B4" s="96">
        <f>B30</f>
        <v>0</v>
      </c>
      <c r="C4" s="96">
        <f>C30</f>
        <v>0</v>
      </c>
      <c r="D4" s="16"/>
      <c r="E4" s="16"/>
      <c r="F4" s="34"/>
    </row>
    <row r="5" spans="1:8" ht="16.5" customHeight="1" x14ac:dyDescent="0.2">
      <c r="A5" s="11" t="s">
        <v>39</v>
      </c>
      <c r="B5" s="96">
        <f>B37</f>
        <v>1699.8952912249999</v>
      </c>
      <c r="C5" s="96">
        <f>C37</f>
        <v>2209.8639656250002</v>
      </c>
      <c r="D5" s="34"/>
      <c r="E5" s="34"/>
      <c r="F5" s="132"/>
    </row>
    <row r="6" spans="1:8" ht="16.5" customHeight="1" x14ac:dyDescent="0.2">
      <c r="A6" s="11" t="s">
        <v>40</v>
      </c>
      <c r="B6" s="96">
        <f>B44</f>
        <v>1599.9010410000001</v>
      </c>
      <c r="C6" s="96">
        <f>C44</f>
        <v>2079.8713533</v>
      </c>
      <c r="E6" s="34"/>
      <c r="F6" s="132"/>
    </row>
    <row r="7" spans="1:8" ht="18" customHeight="1" x14ac:dyDescent="0.2">
      <c r="A7" s="11" t="s">
        <v>41</v>
      </c>
      <c r="B7" s="96">
        <f>B51</f>
        <v>1499.9076611</v>
      </c>
      <c r="C7" s="96">
        <f>C51</f>
        <v>1949.8804816249999</v>
      </c>
      <c r="E7" s="34"/>
      <c r="F7" s="132"/>
    </row>
    <row r="8" spans="1:8" ht="18.75" customHeight="1" x14ac:dyDescent="0.2">
      <c r="A8" s="11" t="s">
        <v>38</v>
      </c>
      <c r="B8" s="96">
        <f>F33</f>
        <v>2464.5581544655834</v>
      </c>
      <c r="C8" s="96"/>
      <c r="E8" s="34"/>
      <c r="F8" s="132"/>
    </row>
    <row r="9" spans="1:8" ht="19.5" customHeight="1" thickBot="1" x14ac:dyDescent="0.25">
      <c r="A9" s="22" t="s">
        <v>35</v>
      </c>
      <c r="B9" s="97">
        <f>F21</f>
        <v>2116.6066838563961</v>
      </c>
      <c r="C9" s="97"/>
      <c r="E9" s="34"/>
      <c r="F9" s="34"/>
    </row>
    <row r="10" spans="1:8" x14ac:dyDescent="0.2">
      <c r="A10" s="23"/>
      <c r="B10" s="98"/>
      <c r="C10" s="98"/>
      <c r="E10" s="34"/>
      <c r="F10" s="34"/>
    </row>
    <row r="11" spans="1:8" x14ac:dyDescent="0.2">
      <c r="E11" s="16"/>
      <c r="F11" s="16"/>
    </row>
    <row r="12" spans="1:8" ht="13.5" thickBot="1" x14ac:dyDescent="0.25">
      <c r="A12" s="14"/>
      <c r="D12" s="14"/>
      <c r="E12" s="17"/>
      <c r="F12" s="17"/>
    </row>
    <row r="13" spans="1:8" ht="26.25" thickBot="1" x14ac:dyDescent="0.25">
      <c r="A13" s="143" t="s">
        <v>33</v>
      </c>
      <c r="B13" s="144" t="s">
        <v>9</v>
      </c>
      <c r="C13" s="145" t="s">
        <v>11</v>
      </c>
      <c r="D13" s="14"/>
      <c r="E13" s="316" t="s">
        <v>29</v>
      </c>
      <c r="F13" s="317"/>
    </row>
    <row r="14" spans="1:8" ht="16.5" customHeight="1" thickTop="1" x14ac:dyDescent="0.2">
      <c r="A14" s="24" t="s">
        <v>13</v>
      </c>
      <c r="B14" s="100">
        <f>(D58)/12</f>
        <v>2709.51066975</v>
      </c>
      <c r="C14" s="101">
        <f>(E58)/12</f>
        <v>35224.653618000004</v>
      </c>
      <c r="D14" s="14"/>
      <c r="E14" s="32" t="s">
        <v>1</v>
      </c>
      <c r="F14" s="91">
        <v>716.98</v>
      </c>
    </row>
    <row r="15" spans="1:8" ht="16.5" customHeight="1" x14ac:dyDescent="0.2">
      <c r="A15" s="24" t="s">
        <v>3</v>
      </c>
      <c r="B15" s="100">
        <f>B14/30*12/12</f>
        <v>90.317022324999996</v>
      </c>
      <c r="C15" s="101">
        <f>C14/30*12/12</f>
        <v>1174.1551206000001</v>
      </c>
      <c r="D15" s="14"/>
      <c r="E15" s="32" t="s">
        <v>6</v>
      </c>
      <c r="F15" s="91">
        <v>364.96678599000001</v>
      </c>
    </row>
    <row r="16" spans="1:8" ht="16.5" customHeight="1" x14ac:dyDescent="0.2">
      <c r="A16" s="25" t="s">
        <v>30</v>
      </c>
      <c r="B16" s="102">
        <f>SUM(B14:B15)</f>
        <v>2799.827692075</v>
      </c>
      <c r="C16" s="103">
        <f>SUM(C14:C15)</f>
        <v>36398.808738600004</v>
      </c>
      <c r="D16" s="14"/>
      <c r="E16" s="32" t="s">
        <v>7</v>
      </c>
      <c r="F16" s="91">
        <v>672.20889889499995</v>
      </c>
    </row>
    <row r="17" spans="1:8" ht="16.5" customHeight="1" x14ac:dyDescent="0.2">
      <c r="A17" s="14"/>
      <c r="B17" s="99">
        <f>B16*12</f>
        <v>33597.932304900001</v>
      </c>
      <c r="C17" s="99">
        <f>C16*12</f>
        <v>436785.70486320008</v>
      </c>
      <c r="D17" s="14"/>
      <c r="E17" s="218" t="s">
        <v>105</v>
      </c>
      <c r="F17" s="219">
        <f>SUM(F14:F16)/30*12/12</f>
        <v>58.47185616283334</v>
      </c>
      <c r="G17" s="220" t="s">
        <v>106</v>
      </c>
    </row>
    <row r="18" spans="1:8" x14ac:dyDescent="0.2">
      <c r="A18" s="14"/>
      <c r="D18" s="14"/>
      <c r="E18" s="32" t="s">
        <v>42</v>
      </c>
      <c r="F18" s="91">
        <v>76.258467066375005</v>
      </c>
    </row>
    <row r="19" spans="1:8" x14ac:dyDescent="0.2">
      <c r="A19" s="14"/>
      <c r="D19" s="14"/>
      <c r="E19" s="32"/>
      <c r="F19" s="92"/>
    </row>
    <row r="20" spans="1:8" ht="26.25" thickBot="1" x14ac:dyDescent="0.25">
      <c r="A20" s="143" t="s">
        <v>32</v>
      </c>
      <c r="B20" s="144" t="s">
        <v>9</v>
      </c>
      <c r="C20" s="145" t="s">
        <v>11</v>
      </c>
      <c r="D20" s="14"/>
      <c r="E20" s="32" t="s">
        <v>2</v>
      </c>
      <c r="F20" s="91">
        <f>(710.4407049+F15+F16)/6</f>
        <v>291.2693982975</v>
      </c>
    </row>
    <row r="21" spans="1:8" ht="16.5" customHeight="1" thickTop="1" thickBot="1" x14ac:dyDescent="0.25">
      <c r="A21" s="24" t="s">
        <v>13</v>
      </c>
      <c r="B21" s="100">
        <f>(D59)/12</f>
        <v>2225.6700502500003</v>
      </c>
      <c r="C21" s="101">
        <f>(E59)/12</f>
        <v>2893.3696335</v>
      </c>
      <c r="D21" s="14"/>
      <c r="E21" s="15" t="s">
        <v>36</v>
      </c>
      <c r="F21" s="93">
        <f>SUM(F14:F17)+(F18/6)+F20</f>
        <v>2116.6066838563961</v>
      </c>
      <c r="G21" s="17"/>
      <c r="H21" s="95"/>
    </row>
    <row r="22" spans="1:8" ht="16.5" customHeight="1" x14ac:dyDescent="0.2">
      <c r="A22" s="24" t="s">
        <v>3</v>
      </c>
      <c r="B22" s="100">
        <f>B21/30*12/12</f>
        <v>74.189001675000014</v>
      </c>
      <c r="C22" s="101">
        <f>C21/30*12/12</f>
        <v>96.445654449999992</v>
      </c>
      <c r="D22" s="14"/>
      <c r="F22" s="94">
        <f>F21*12</f>
        <v>25399.280206276751</v>
      </c>
    </row>
    <row r="23" spans="1:8" ht="16.5" customHeight="1" x14ac:dyDescent="0.2">
      <c r="A23" s="25" t="s">
        <v>30</v>
      </c>
      <c r="B23" s="102">
        <f>SUM(B21:B22)</f>
        <v>2299.8590519250001</v>
      </c>
      <c r="C23" s="103">
        <f>SUM(C21:C22)</f>
        <v>2989.8152879499999</v>
      </c>
      <c r="D23" s="14"/>
      <c r="F23" s="94"/>
    </row>
    <row r="24" spans="1:8" ht="13.5" thickBot="1" x14ac:dyDescent="0.25">
      <c r="A24" s="14"/>
      <c r="B24" s="99">
        <f>B23*12</f>
        <v>27598.308623100002</v>
      </c>
      <c r="C24" s="99">
        <f>C23*12</f>
        <v>35877.7834554</v>
      </c>
      <c r="D24" s="14"/>
      <c r="F24" s="94"/>
    </row>
    <row r="25" spans="1:8" ht="19.5" customHeight="1" thickBot="1" x14ac:dyDescent="0.25">
      <c r="A25" s="14"/>
      <c r="D25" s="14"/>
      <c r="E25" s="316" t="s">
        <v>28</v>
      </c>
      <c r="F25" s="317"/>
    </row>
    <row r="26" spans="1:8" x14ac:dyDescent="0.2">
      <c r="B26" s="104"/>
      <c r="C26" s="104"/>
      <c r="D26" s="18"/>
      <c r="E26" s="32" t="s">
        <v>1</v>
      </c>
      <c r="F26" s="91">
        <v>861.46</v>
      </c>
    </row>
    <row r="27" spans="1:8" ht="29.25" thickBot="1" x14ac:dyDescent="0.25">
      <c r="A27" s="146" t="s">
        <v>31</v>
      </c>
      <c r="B27" s="144" t="s">
        <v>9</v>
      </c>
      <c r="C27" s="145" t="s">
        <v>11</v>
      </c>
      <c r="D27" s="13"/>
      <c r="E27" s="32" t="s">
        <v>4</v>
      </c>
      <c r="F27" s="91">
        <v>472.37423183999999</v>
      </c>
    </row>
    <row r="28" spans="1:8" ht="16.5" customHeight="1" thickTop="1" x14ac:dyDescent="0.2">
      <c r="A28" s="24" t="s">
        <v>13</v>
      </c>
      <c r="B28" s="100">
        <f>(D60)/12</f>
        <v>0</v>
      </c>
      <c r="C28" s="101">
        <f>(E60)/12</f>
        <v>0</v>
      </c>
      <c r="D28" s="13"/>
      <c r="E28" s="32" t="s">
        <v>5</v>
      </c>
      <c r="F28" s="91">
        <v>722.49262888500004</v>
      </c>
    </row>
    <row r="29" spans="1:8" ht="16.5" customHeight="1" x14ac:dyDescent="0.2">
      <c r="A29" s="24" t="s">
        <v>3</v>
      </c>
      <c r="B29" s="100">
        <v>0</v>
      </c>
      <c r="C29" s="101">
        <v>0</v>
      </c>
      <c r="D29" s="13"/>
      <c r="E29" s="32" t="s">
        <v>3</v>
      </c>
      <c r="F29" s="91">
        <f>SUM(F26:F28)/30*12/12</f>
        <v>68.544228690833336</v>
      </c>
      <c r="G29" s="8" t="s">
        <v>18</v>
      </c>
    </row>
    <row r="30" spans="1:8" ht="16.5" customHeight="1" x14ac:dyDescent="0.2">
      <c r="A30" s="25" t="s">
        <v>30</v>
      </c>
      <c r="B30" s="102">
        <f>SUM(B28:B29)</f>
        <v>0</v>
      </c>
      <c r="C30" s="103">
        <f>SUM(C28:C29)</f>
        <v>0</v>
      </c>
      <c r="D30" s="13"/>
      <c r="E30" s="32" t="s">
        <v>42</v>
      </c>
      <c r="F30" s="91">
        <v>98.691380788499998</v>
      </c>
    </row>
    <row r="31" spans="1:8" x14ac:dyDescent="0.2">
      <c r="A31" s="17"/>
      <c r="B31" s="105"/>
      <c r="C31" s="105"/>
      <c r="D31" s="13"/>
      <c r="E31" s="32"/>
      <c r="F31" s="92"/>
    </row>
    <row r="32" spans="1:8" x14ac:dyDescent="0.2">
      <c r="A32" s="17"/>
      <c r="B32" s="105"/>
      <c r="C32" s="105"/>
      <c r="D32" s="13"/>
      <c r="E32" s="32" t="s">
        <v>2</v>
      </c>
      <c r="F32" s="91">
        <f>(744.564148785+F27+F28)/6</f>
        <v>323.23850158499999</v>
      </c>
    </row>
    <row r="33" spans="1:6" ht="13.5" thickBot="1" x14ac:dyDescent="0.25">
      <c r="E33" s="15" t="s">
        <v>37</v>
      </c>
      <c r="F33" s="93">
        <f>SUM(F26:F29)+(F30/6)+F32</f>
        <v>2464.5581544655834</v>
      </c>
    </row>
    <row r="34" spans="1:6" ht="26.25" thickBot="1" x14ac:dyDescent="0.25">
      <c r="A34" s="143" t="s">
        <v>39</v>
      </c>
      <c r="B34" s="144" t="s">
        <v>9</v>
      </c>
      <c r="C34" s="145" t="s">
        <v>11</v>
      </c>
      <c r="D34" s="13"/>
      <c r="F34" s="8">
        <f>F33*12</f>
        <v>29574.697853587</v>
      </c>
    </row>
    <row r="35" spans="1:6" ht="16.5" customHeight="1" thickTop="1" x14ac:dyDescent="0.2">
      <c r="A35" s="24" t="s">
        <v>13</v>
      </c>
      <c r="B35" s="100">
        <f>(D62)/12</f>
        <v>1645.05995925</v>
      </c>
      <c r="C35" s="101">
        <f>(E62)/12</f>
        <v>2138.5780312500001</v>
      </c>
      <c r="D35" s="13"/>
    </row>
    <row r="36" spans="1:6" ht="16.5" customHeight="1" x14ac:dyDescent="0.2">
      <c r="A36" s="24" t="s">
        <v>3</v>
      </c>
      <c r="B36" s="100">
        <f>B35/30*12/12</f>
        <v>54.835331975000003</v>
      </c>
      <c r="C36" s="101">
        <f>C35/30*12/12</f>
        <v>71.285934374999997</v>
      </c>
      <c r="D36" s="13"/>
    </row>
    <row r="37" spans="1:6" ht="16.5" customHeight="1" x14ac:dyDescent="0.2">
      <c r="A37" s="25" t="s">
        <v>30</v>
      </c>
      <c r="B37" s="102">
        <f>SUM(B35:B36)</f>
        <v>1699.8952912249999</v>
      </c>
      <c r="C37" s="103">
        <f>SUM(C35:C36)</f>
        <v>2209.8639656250002</v>
      </c>
      <c r="D37" s="13"/>
    </row>
    <row r="38" spans="1:6" x14ac:dyDescent="0.2">
      <c r="A38" s="17"/>
      <c r="B38" s="105">
        <f>B37*12</f>
        <v>20398.7434947</v>
      </c>
      <c r="C38" s="105">
        <f>C37*12</f>
        <v>26518.367587500004</v>
      </c>
      <c r="D38" s="13"/>
    </row>
    <row r="39" spans="1:6" x14ac:dyDescent="0.2">
      <c r="A39" s="17"/>
      <c r="B39" s="105"/>
      <c r="C39" s="105"/>
      <c r="D39" s="13"/>
    </row>
    <row r="40" spans="1:6" x14ac:dyDescent="0.2">
      <c r="B40" s="104"/>
      <c r="C40" s="104"/>
      <c r="D40" s="13"/>
    </row>
    <row r="41" spans="1:6" ht="26.25" thickBot="1" x14ac:dyDescent="0.25">
      <c r="A41" s="143" t="s">
        <v>40</v>
      </c>
      <c r="B41" s="144" t="s">
        <v>9</v>
      </c>
      <c r="C41" s="145" t="s">
        <v>11</v>
      </c>
      <c r="D41" s="13"/>
    </row>
    <row r="42" spans="1:6" ht="16.5" customHeight="1" thickTop="1" x14ac:dyDescent="0.2">
      <c r="A42" s="24" t="s">
        <v>13</v>
      </c>
      <c r="B42" s="100">
        <f>(D63)/12</f>
        <v>1548.29133</v>
      </c>
      <c r="C42" s="101">
        <f>(E63)/12</f>
        <v>2012.7787289999999</v>
      </c>
      <c r="D42" s="13"/>
    </row>
    <row r="43" spans="1:6" ht="16.5" customHeight="1" x14ac:dyDescent="0.2">
      <c r="A43" s="24" t="s">
        <v>8</v>
      </c>
      <c r="B43" s="100">
        <f>B42/30*12/12</f>
        <v>51.609710999999997</v>
      </c>
      <c r="C43" s="101">
        <f>C42/30*12/12</f>
        <v>67.092624299999997</v>
      </c>
      <c r="D43" s="13"/>
    </row>
    <row r="44" spans="1:6" ht="16.5" customHeight="1" x14ac:dyDescent="0.2">
      <c r="A44" s="25" t="s">
        <v>30</v>
      </c>
      <c r="B44" s="102">
        <f>SUM(B42:B43)</f>
        <v>1599.9010410000001</v>
      </c>
      <c r="C44" s="103">
        <f>SUM(C42:C43)</f>
        <v>2079.8713533</v>
      </c>
      <c r="D44" s="13"/>
    </row>
    <row r="45" spans="1:6" x14ac:dyDescent="0.2">
      <c r="A45" s="17"/>
      <c r="B45" s="105">
        <f>B44*12</f>
        <v>19198.812492000001</v>
      </c>
      <c r="C45" s="105">
        <f>C44*12</f>
        <v>24958.4562396</v>
      </c>
      <c r="D45" s="13"/>
    </row>
    <row r="46" spans="1:6" x14ac:dyDescent="0.2">
      <c r="A46" s="17"/>
      <c r="B46" s="105"/>
      <c r="C46" s="105"/>
      <c r="D46" s="13"/>
    </row>
    <row r="47" spans="1:6" x14ac:dyDescent="0.2">
      <c r="A47" s="12"/>
      <c r="B47" s="88"/>
      <c r="C47" s="88"/>
      <c r="D47" s="13"/>
    </row>
    <row r="48" spans="1:6" ht="26.25" thickBot="1" x14ac:dyDescent="0.25">
      <c r="A48" s="143" t="s">
        <v>95</v>
      </c>
      <c r="B48" s="144" t="s">
        <v>9</v>
      </c>
      <c r="C48" s="145" t="s">
        <v>11</v>
      </c>
      <c r="D48" s="13"/>
    </row>
    <row r="49" spans="1:11" ht="16.5" customHeight="1" thickTop="1" x14ac:dyDescent="0.2">
      <c r="A49" s="24" t="s">
        <v>13</v>
      </c>
      <c r="B49" s="100">
        <f>(D64)/12</f>
        <v>1451.523543</v>
      </c>
      <c r="C49" s="101">
        <f>(E64)/12</f>
        <v>1886.9811112499999</v>
      </c>
    </row>
    <row r="50" spans="1:11" ht="16.5" customHeight="1" x14ac:dyDescent="0.2">
      <c r="A50" s="24" t="s">
        <v>3</v>
      </c>
      <c r="B50" s="100">
        <f>B49/30*12/12</f>
        <v>48.384118100000002</v>
      </c>
      <c r="C50" s="101">
        <f>C49/30*12/12</f>
        <v>62.899370374999997</v>
      </c>
      <c r="D50" s="19"/>
    </row>
    <row r="51" spans="1:11" ht="16.5" customHeight="1" x14ac:dyDescent="0.2">
      <c r="A51" s="25" t="s">
        <v>30</v>
      </c>
      <c r="B51" s="102">
        <f>SUM(B49:B50)</f>
        <v>1499.9076611</v>
      </c>
      <c r="C51" s="103">
        <f>SUM(C49:C50)</f>
        <v>1949.8804816249999</v>
      </c>
      <c r="D51" s="20"/>
    </row>
    <row r="52" spans="1:11" x14ac:dyDescent="0.2">
      <c r="B52" s="99">
        <f>B51*12</f>
        <v>17998.8919332</v>
      </c>
      <c r="C52" s="99">
        <f>C51*12</f>
        <v>23398.565779500001</v>
      </c>
      <c r="D52" s="18"/>
    </row>
    <row r="54" spans="1:11" ht="13.5" thickBot="1" x14ac:dyDescent="0.25"/>
    <row r="55" spans="1:11" ht="12.75" customHeight="1" x14ac:dyDescent="0.2">
      <c r="A55" s="318" t="s">
        <v>115</v>
      </c>
      <c r="B55" s="318"/>
      <c r="C55" s="320"/>
      <c r="D55" s="28" t="s">
        <v>19</v>
      </c>
      <c r="E55" s="28" t="s">
        <v>19</v>
      </c>
      <c r="G55" s="339" t="s">
        <v>116</v>
      </c>
      <c r="H55" s="339"/>
      <c r="I55" s="331"/>
      <c r="J55" s="110" t="s">
        <v>19</v>
      </c>
      <c r="K55" s="110" t="s">
        <v>19</v>
      </c>
    </row>
    <row r="56" spans="1:11" ht="27.6" customHeight="1" thickBot="1" x14ac:dyDescent="0.25">
      <c r="A56" s="319"/>
      <c r="B56" s="319"/>
      <c r="C56" s="321"/>
      <c r="D56" s="29" t="s">
        <v>20</v>
      </c>
      <c r="E56" s="29" t="s">
        <v>21</v>
      </c>
      <c r="G56" s="340"/>
      <c r="H56" s="340"/>
      <c r="I56" s="332"/>
      <c r="J56" s="111" t="s">
        <v>20</v>
      </c>
      <c r="K56" s="111" t="s">
        <v>21</v>
      </c>
    </row>
    <row r="57" spans="1:11" ht="15" thickBot="1" x14ac:dyDescent="0.25">
      <c r="A57" s="322" t="s">
        <v>22</v>
      </c>
      <c r="B57" s="323"/>
      <c r="C57" s="323"/>
      <c r="D57" s="323"/>
      <c r="E57" s="324"/>
      <c r="G57" s="333" t="s">
        <v>22</v>
      </c>
      <c r="H57" s="334"/>
      <c r="I57" s="334"/>
      <c r="J57" s="334"/>
      <c r="K57" s="335"/>
    </row>
    <row r="58" spans="1:11" ht="18" customHeight="1" x14ac:dyDescent="0.2">
      <c r="A58" s="315"/>
      <c r="B58" s="313" t="s">
        <v>43</v>
      </c>
      <c r="C58" s="314"/>
      <c r="D58" s="107">
        <f>1.07%*J58+J58</f>
        <v>32514.128036999999</v>
      </c>
      <c r="E58" s="107">
        <f>1.07%*K58+K58</f>
        <v>422695.84341600002</v>
      </c>
      <c r="G58" s="336"/>
      <c r="H58" s="337" t="s">
        <v>43</v>
      </c>
      <c r="I58" s="338"/>
      <c r="J58" s="107">
        <v>32169.91</v>
      </c>
      <c r="K58" s="107">
        <v>418220.88</v>
      </c>
    </row>
    <row r="59" spans="1:11" ht="18" customHeight="1" x14ac:dyDescent="0.2">
      <c r="A59" s="315"/>
      <c r="B59" s="313" t="s">
        <v>44</v>
      </c>
      <c r="C59" s="314"/>
      <c r="D59" s="107">
        <f>1.07%*J59+J59</f>
        <v>26708.040603000001</v>
      </c>
      <c r="E59" s="107">
        <f>1.07%*K59+K59</f>
        <v>34720.435601999998</v>
      </c>
      <c r="G59" s="336"/>
      <c r="H59" s="337" t="s">
        <v>44</v>
      </c>
      <c r="I59" s="338"/>
      <c r="J59" s="107">
        <v>26425.29</v>
      </c>
      <c r="K59" s="107">
        <v>34352.86</v>
      </c>
    </row>
    <row r="60" spans="1:11" ht="18" customHeight="1" thickBot="1" x14ac:dyDescent="0.25">
      <c r="A60" s="315"/>
      <c r="B60" s="313" t="s">
        <v>23</v>
      </c>
      <c r="C60" s="314"/>
      <c r="D60" s="138"/>
      <c r="E60" s="107"/>
      <c r="G60" s="336"/>
      <c r="H60" s="337" t="s">
        <v>23</v>
      </c>
      <c r="I60" s="338"/>
      <c r="J60" s="112"/>
      <c r="K60" s="112"/>
    </row>
    <row r="61" spans="1:11" ht="15" thickBot="1" x14ac:dyDescent="0.25">
      <c r="A61" s="322" t="s">
        <v>24</v>
      </c>
      <c r="B61" s="323"/>
      <c r="C61" s="323"/>
      <c r="D61" s="325"/>
      <c r="E61" s="324"/>
      <c r="G61" s="333" t="s">
        <v>24</v>
      </c>
      <c r="H61" s="334"/>
      <c r="I61" s="334"/>
      <c r="J61" s="334"/>
      <c r="K61" s="335"/>
    </row>
    <row r="62" spans="1:11" ht="18" customHeight="1" thickBot="1" x14ac:dyDescent="0.25">
      <c r="A62" s="315"/>
      <c r="B62" s="327" t="s">
        <v>25</v>
      </c>
      <c r="C62" s="327"/>
      <c r="D62" s="108">
        <f>1.07%*J62+J62</f>
        <v>19740.719510999999</v>
      </c>
      <c r="E62" s="108">
        <f>1.07%*K62+K62</f>
        <v>25662.936375000001</v>
      </c>
      <c r="G62" s="336"/>
      <c r="H62" s="342" t="s">
        <v>25</v>
      </c>
      <c r="I62" s="342"/>
      <c r="J62" s="108">
        <v>19531.73</v>
      </c>
      <c r="K62" s="108">
        <v>25391.25</v>
      </c>
    </row>
    <row r="63" spans="1:11" ht="18" customHeight="1" thickBot="1" x14ac:dyDescent="0.25">
      <c r="A63" s="315"/>
      <c r="B63" s="328" t="s">
        <v>26</v>
      </c>
      <c r="C63" s="328"/>
      <c r="D63" s="108">
        <f t="shared" ref="D63:D64" si="0">1.07%*J63+J63</f>
        <v>18579.49596</v>
      </c>
      <c r="E63" s="108">
        <f t="shared" ref="E63:E64" si="1">1.07%*K63+K63</f>
        <v>24153.344748</v>
      </c>
      <c r="G63" s="336"/>
      <c r="H63" s="343" t="s">
        <v>26</v>
      </c>
      <c r="I63" s="343"/>
      <c r="J63" s="213">
        <v>18382.8</v>
      </c>
      <c r="K63" s="213">
        <v>23897.64</v>
      </c>
    </row>
    <row r="64" spans="1:11" ht="18" customHeight="1" x14ac:dyDescent="0.2">
      <c r="A64" s="315"/>
      <c r="B64" s="329" t="s">
        <v>27</v>
      </c>
      <c r="C64" s="329"/>
      <c r="D64" s="108">
        <f t="shared" si="0"/>
        <v>17418.282515999999</v>
      </c>
      <c r="E64" s="108">
        <f t="shared" si="1"/>
        <v>22643.773334999998</v>
      </c>
      <c r="G64" s="336"/>
      <c r="H64" s="344" t="s">
        <v>27</v>
      </c>
      <c r="I64" s="344"/>
      <c r="J64" s="109">
        <v>17233.88</v>
      </c>
      <c r="K64" s="109">
        <v>22404.05</v>
      </c>
    </row>
    <row r="65" spans="1:11" ht="18" customHeight="1" x14ac:dyDescent="0.2">
      <c r="A65" s="315"/>
      <c r="B65" s="329" t="s">
        <v>28</v>
      </c>
      <c r="C65" s="329"/>
      <c r="D65" s="30"/>
      <c r="E65" s="30"/>
      <c r="G65" s="336"/>
      <c r="H65" s="344" t="s">
        <v>28</v>
      </c>
      <c r="I65" s="344"/>
      <c r="J65" s="113"/>
      <c r="K65" s="113"/>
    </row>
    <row r="66" spans="1:11" ht="18" customHeight="1" thickBot="1" x14ac:dyDescent="0.25">
      <c r="A66" s="326"/>
      <c r="B66" s="330" t="s">
        <v>29</v>
      </c>
      <c r="C66" s="330"/>
      <c r="D66" s="31"/>
      <c r="E66" s="31"/>
      <c r="G66" s="341"/>
      <c r="H66" s="345" t="s">
        <v>29</v>
      </c>
      <c r="I66" s="345"/>
      <c r="J66" s="114"/>
      <c r="K66" s="114"/>
    </row>
  </sheetData>
  <mergeCells count="30">
    <mergeCell ref="G61:K61"/>
    <mergeCell ref="G62:G66"/>
    <mergeCell ref="H62:I62"/>
    <mergeCell ref="H63:I63"/>
    <mergeCell ref="H64:I64"/>
    <mergeCell ref="H65:I65"/>
    <mergeCell ref="H66:I66"/>
    <mergeCell ref="I55:I56"/>
    <mergeCell ref="G57:K57"/>
    <mergeCell ref="G58:G60"/>
    <mergeCell ref="H58:I58"/>
    <mergeCell ref="H59:I59"/>
    <mergeCell ref="H60:I60"/>
    <mergeCell ref="G55:H56"/>
    <mergeCell ref="A61:E61"/>
    <mergeCell ref="A62:A66"/>
    <mergeCell ref="B62:C62"/>
    <mergeCell ref="B63:C63"/>
    <mergeCell ref="B64:C64"/>
    <mergeCell ref="B65:C65"/>
    <mergeCell ref="B66:C66"/>
    <mergeCell ref="B60:C60"/>
    <mergeCell ref="B59:C59"/>
    <mergeCell ref="B58:C58"/>
    <mergeCell ref="A58:A60"/>
    <mergeCell ref="E13:F13"/>
    <mergeCell ref="A55:B56"/>
    <mergeCell ref="C55:C56"/>
    <mergeCell ref="A57:E57"/>
    <mergeCell ref="E25:F25"/>
  </mergeCells>
  <phoneticPr fontId="0" type="noConversion"/>
  <pageMargins left="0.74803149606299213" right="0.31496062992125984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14</vt:i4>
      </vt:variant>
    </vt:vector>
  </HeadingPairs>
  <TitlesOfParts>
    <vt:vector size="23" baseType="lpstr">
      <vt:lpstr>INVESTIGADOR SENIOR</vt:lpstr>
      <vt:lpstr>INVESTIGADOR JUNIOR</vt:lpstr>
      <vt:lpstr>INVEST. EN FORMACIÓN-PRÁCTICAS</vt:lpstr>
      <vt:lpstr>TITULADOS SUPERIORES I</vt:lpstr>
      <vt:lpstr>TITULADOS SUPERIORES II</vt:lpstr>
      <vt:lpstr>TITULADOS DE GRADO MEDIO</vt:lpstr>
      <vt:lpstr>ESPECIALISTAS TECNICOS</vt:lpstr>
      <vt:lpstr>AUXILIARES</vt:lpstr>
      <vt:lpstr>PARAMETROS</vt:lpstr>
      <vt:lpstr>AUXILIARES!Área_de_impresión</vt:lpstr>
      <vt:lpstr>'INVEST. EN FORMACIÓN-PRÁCTICAS'!Área_de_impresión</vt:lpstr>
      <vt:lpstr>'INVESTIGADOR JUNIOR'!Área_de_impresión</vt:lpstr>
      <vt:lpstr>'INVESTIGADOR SENIOR'!Área_de_impresión</vt:lpstr>
      <vt:lpstr>'TITULADOS DE GRADO MEDIO'!Área_de_impresión</vt:lpstr>
      <vt:lpstr>'TITULADOS SUPERIORES I'!Área_de_impresión</vt:lpstr>
      <vt:lpstr>'TITULADOS SUPERIORES II'!Área_de_impresión</vt:lpstr>
      <vt:lpstr>AUXILIARES!Títulos_a_imprimir</vt:lpstr>
      <vt:lpstr>'INVEST. EN FORMACIÓN-PRÁCTICAS'!Títulos_a_imprimir</vt:lpstr>
      <vt:lpstr>'INVESTIGADOR JUNIOR'!Títulos_a_imprimir</vt:lpstr>
      <vt:lpstr>'INVESTIGADOR SENIOR'!Títulos_a_imprimir</vt:lpstr>
      <vt:lpstr>'TITULADOS DE GRADO MEDIO'!Títulos_a_imprimir</vt:lpstr>
      <vt:lpstr>'TITULADOS SUPERIORES I'!Títulos_a_imprimir</vt:lpstr>
      <vt:lpstr>'TITULADOS SUPERIORES II'!Títulos_a_imprimir</vt:lpstr>
    </vt:vector>
  </TitlesOfParts>
  <Company>oscar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gcremades@umh.es</dc:creator>
  <cp:lastModifiedBy>Fuentes Garcia, Susana</cp:lastModifiedBy>
  <cp:lastPrinted>2022-03-07T16:07:16Z</cp:lastPrinted>
  <dcterms:created xsi:type="dcterms:W3CDTF">2003-11-11T19:24:53Z</dcterms:created>
  <dcterms:modified xsi:type="dcterms:W3CDTF">2025-02-20T07:34:54Z</dcterms:modified>
</cp:coreProperties>
</file>