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Y:\+General\ESTADISTICAS ISA\PRESUPUESTOS\PRESUPUESTOS 2024\Anexo Presupuesto I+D  01.01.24\TABLAS SALARIALES 2024\Actualización Salario Mínimo 16.04.24\"/>
    </mc:Choice>
  </mc:AlternateContent>
  <xr:revisionPtr revIDLastSave="0" documentId="13_ncr:1_{DAAA2197-181F-429D-BDE4-2C2D99A6B0B3}" xr6:coauthVersionLast="47" xr6:coauthVersionMax="47" xr10:uidLastSave="{00000000-0000-0000-0000-000000000000}"/>
  <bookViews>
    <workbookView xWindow="-110" yWindow="-110" windowWidth="19420" windowHeight="10420" tabRatio="859" firstSheet="3" activeTab="7" xr2:uid="{00000000-000D-0000-FFFF-FFFF00000000}"/>
  </bookViews>
  <sheets>
    <sheet name="INVESTIGADOR SENIOR" sheetId="7" r:id="rId1"/>
    <sheet name="INVESTIGADOR JUNIOR" sheetId="13" r:id="rId2"/>
    <sheet name="INVEST. EN FORMACIÓN-PRÁCTICAS" sheetId="14" state="hidden" r:id="rId3"/>
    <sheet name="TITULADOS SUPERIORES I" sheetId="12" r:id="rId4"/>
    <sheet name="TITULADOS SUPERIORES II" sheetId="11" r:id="rId5"/>
    <sheet name="TITULADOS DE GRADO MEDIO" sheetId="5" r:id="rId6"/>
    <sheet name="ESPECIALISTAS TECNICOS" sheetId="4" r:id="rId7"/>
    <sheet name="AUXILIARES" sheetId="2" r:id="rId8"/>
    <sheet name="PARAMETROS" sheetId="3" state="hidden" r:id="rId9"/>
  </sheets>
  <definedNames>
    <definedName name="_xlnm.Print_Area" localSheetId="7">AUXILIARES!$A$2:$D$39</definedName>
    <definedName name="_xlnm.Print_Area" localSheetId="2">'INVEST. EN FORMACIÓN-PRÁCTICAS'!$A$2:$C$10</definedName>
    <definedName name="_xlnm.Print_Area" localSheetId="1">'INVESTIGADOR JUNIOR'!$A$2:$G$40</definedName>
    <definedName name="_xlnm.Print_Area" localSheetId="0">'INVESTIGADOR SENIOR'!$A$2:$G$40</definedName>
    <definedName name="_xlnm.Print_Area" localSheetId="5">'TITULADOS DE GRADO MEDIO'!$A$2:$G$40</definedName>
    <definedName name="_xlnm.Print_Area" localSheetId="3">'TITULADOS SUPERIORES I'!$A$2:$G$40</definedName>
    <definedName name="_xlnm.Print_Area" localSheetId="4">'TITULADOS SUPERIORES II'!$A$2:$G$40</definedName>
    <definedName name="RETRIBUCION">#REF!</definedName>
    <definedName name="_xlnm.Print_Titles" localSheetId="7">AUXILIARES!$2:$2</definedName>
    <definedName name="_xlnm.Print_Titles" localSheetId="2">'INVEST. EN FORMACIÓN-PRÁCTICAS'!$2:$3</definedName>
    <definedName name="_xlnm.Print_Titles" localSheetId="1">'INVESTIGADOR JUNIOR'!$2:$3</definedName>
    <definedName name="_xlnm.Print_Titles" localSheetId="0">'INVESTIGADOR SENIOR'!$2:$3</definedName>
    <definedName name="_xlnm.Print_Titles" localSheetId="5">'TITULADOS DE GRADO MEDIO'!$2:$3</definedName>
    <definedName name="_xlnm.Print_Titles" localSheetId="3">'TITULADOS SUPERIORES I'!$2:$3</definedName>
    <definedName name="_xlnm.Print_Titles" localSheetId="4">'TITULADOS SUPERIORES II'!$2:$3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3" l="1"/>
  <c r="F32" i="3"/>
  <c r="F21" i="3" l="1"/>
  <c r="F17" i="3"/>
  <c r="E59" i="3"/>
  <c r="E63" i="3"/>
  <c r="E64" i="3"/>
  <c r="E62" i="3"/>
  <c r="D64" i="3"/>
  <c r="D63" i="3"/>
  <c r="D62" i="3"/>
  <c r="E58" i="3"/>
  <c r="D59" i="3"/>
  <c r="D58" i="3"/>
  <c r="K18" i="11" l="1"/>
  <c r="B8" i="14" l="1"/>
  <c r="C8" i="14" s="1"/>
  <c r="B7" i="14"/>
  <c r="D7" i="14" s="1"/>
  <c r="B6" i="14"/>
  <c r="D6" i="14" s="1"/>
  <c r="B5" i="14"/>
  <c r="D5" i="14" s="1"/>
  <c r="D4" i="14"/>
  <c r="C4" i="14"/>
  <c r="C5" i="14" l="1"/>
  <c r="C6" i="14"/>
  <c r="C7" i="14"/>
  <c r="D8" i="14"/>
  <c r="B10" i="14"/>
  <c r="D10" i="14" s="1"/>
  <c r="F32" i="2"/>
  <c r="F32" i="4"/>
  <c r="I32" i="5"/>
  <c r="I32" i="11"/>
  <c r="I32" i="12"/>
  <c r="I32" i="13"/>
  <c r="I32" i="7"/>
  <c r="C10" i="14" l="1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B14" i="3" l="1"/>
  <c r="B15" i="3" s="1"/>
  <c r="G22" i="14" l="1"/>
  <c r="I22" i="14" s="1"/>
  <c r="G11" i="14"/>
  <c r="G20" i="14"/>
  <c r="H24" i="14"/>
  <c r="H13" i="14" l="1"/>
  <c r="I11" i="14"/>
  <c r="G9" i="14"/>
  <c r="I9" i="14" s="1"/>
  <c r="I13" i="14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" i="2"/>
  <c r="H18" i="4" l="1"/>
  <c r="H18" i="2"/>
  <c r="G32" i="2"/>
  <c r="I32" i="2" s="1"/>
  <c r="I34" i="2" s="1"/>
  <c r="G16" i="2"/>
  <c r="I16" i="2" s="1"/>
  <c r="G14" i="2"/>
  <c r="I14" i="2" s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" i="4"/>
  <c r="G32" i="4"/>
  <c r="I32" i="4" s="1"/>
  <c r="I34" i="4" s="1"/>
  <c r="G14" i="4"/>
  <c r="I14" i="4" s="1"/>
  <c r="G16" i="4"/>
  <c r="I16" i="4" s="1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5" i="5"/>
  <c r="J32" i="5"/>
  <c r="L32" i="5" s="1"/>
  <c r="L34" i="5" s="1"/>
  <c r="K18" i="5"/>
  <c r="J16" i="5"/>
  <c r="L16" i="5" s="1"/>
  <c r="J14" i="5"/>
  <c r="L14" i="5" s="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5" i="11"/>
  <c r="J32" i="11"/>
  <c r="L32" i="11" s="1"/>
  <c r="L34" i="11" s="1"/>
  <c r="J16" i="11"/>
  <c r="L16" i="11" s="1"/>
  <c r="J14" i="11"/>
  <c r="L14" i="11" s="1"/>
  <c r="J32" i="12"/>
  <c r="L32" i="12" s="1"/>
  <c r="L34" i="12" s="1"/>
  <c r="C6" i="12"/>
  <c r="C7" i="12"/>
  <c r="C8" i="12"/>
  <c r="C9" i="12"/>
  <c r="C10" i="12"/>
  <c r="C11" i="12"/>
  <c r="C12" i="12"/>
  <c r="C13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32" i="12"/>
  <c r="C33" i="12"/>
  <c r="C34" i="12"/>
  <c r="C35" i="12"/>
  <c r="C36" i="12"/>
  <c r="C37" i="12"/>
  <c r="C38" i="12"/>
  <c r="C39" i="12"/>
  <c r="C40" i="12"/>
  <c r="C5" i="12"/>
  <c r="K18" i="12"/>
  <c r="J16" i="12"/>
  <c r="L16" i="12" s="1"/>
  <c r="J14" i="12"/>
  <c r="L14" i="12" s="1"/>
  <c r="L18" i="12" l="1"/>
  <c r="L18" i="11"/>
  <c r="I18" i="2"/>
  <c r="I18" i="4"/>
  <c r="L18" i="5"/>
  <c r="J32" i="13"/>
  <c r="L32" i="13" s="1"/>
  <c r="L34" i="13" s="1"/>
  <c r="C6" i="13"/>
  <c r="C7" i="13"/>
  <c r="C8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5" i="13"/>
  <c r="K18" i="13"/>
  <c r="J16" i="13"/>
  <c r="L16" i="13" s="1"/>
  <c r="J14" i="13"/>
  <c r="L14" i="13" s="1"/>
  <c r="L18" i="13" l="1"/>
  <c r="J32" i="7" l="1"/>
  <c r="L32" i="7" s="1"/>
  <c r="L34" i="7" l="1"/>
  <c r="K18" i="7" l="1"/>
  <c r="J16" i="7" l="1"/>
  <c r="L16" i="7" s="1"/>
  <c r="J14" i="7"/>
  <c r="L14" i="7" s="1"/>
  <c r="L18" i="7" l="1"/>
  <c r="C49" i="3" l="1"/>
  <c r="C50" i="3" s="1"/>
  <c r="B49" i="3"/>
  <c r="C42" i="3"/>
  <c r="B42" i="3"/>
  <c r="C35" i="3"/>
  <c r="C36" i="3" s="1"/>
  <c r="B35" i="3"/>
  <c r="C21" i="3"/>
  <c r="C22" i="3" s="1"/>
  <c r="B21" i="3"/>
  <c r="B22" i="3" s="1"/>
  <c r="C14" i="3"/>
  <c r="C15" i="3" s="1"/>
  <c r="C28" i="3"/>
  <c r="C30" i="3" s="1"/>
  <c r="C4" i="3" s="1"/>
  <c r="B28" i="3"/>
  <c r="B30" i="3" s="1"/>
  <c r="B4" i="3" s="1"/>
  <c r="F29" i="3"/>
  <c r="C51" i="3" l="1"/>
  <c r="F33" i="3"/>
  <c r="C23" i="3"/>
  <c r="C24" i="3" s="1"/>
  <c r="B43" i="3"/>
  <c r="B44" i="3" s="1"/>
  <c r="C37" i="3"/>
  <c r="C43" i="3"/>
  <c r="C44" i="3" s="1"/>
  <c r="B36" i="3"/>
  <c r="B37" i="3" s="1"/>
  <c r="B50" i="3"/>
  <c r="B51" i="3" s="1"/>
  <c r="B16" i="3"/>
  <c r="C16" i="3"/>
  <c r="B23" i="3"/>
  <c r="B24" i="3" s="1"/>
  <c r="B8" i="3" l="1"/>
  <c r="F34" i="3"/>
  <c r="B9" i="3"/>
  <c r="B3" i="2" s="1"/>
  <c r="D3" i="2" s="1"/>
  <c r="F22" i="3"/>
  <c r="C7" i="3"/>
  <c r="F4" i="5" s="1"/>
  <c r="F20" i="5" s="1"/>
  <c r="G20" i="5" s="1"/>
  <c r="C52" i="3"/>
  <c r="C6" i="3"/>
  <c r="F4" i="11" s="1"/>
  <c r="G4" i="11" s="1"/>
  <c r="C45" i="3"/>
  <c r="C5" i="3"/>
  <c r="F4" i="12" s="1"/>
  <c r="F32" i="12" s="1"/>
  <c r="G32" i="12" s="1"/>
  <c r="C38" i="3"/>
  <c r="B7" i="3"/>
  <c r="B4" i="5" s="1"/>
  <c r="B52" i="3"/>
  <c r="B6" i="3"/>
  <c r="B4" i="11" s="1"/>
  <c r="B38" i="11" s="1"/>
  <c r="D38" i="11" s="1"/>
  <c r="B45" i="3"/>
  <c r="B5" i="3"/>
  <c r="B4" i="12" s="1"/>
  <c r="B39" i="12" s="1"/>
  <c r="D39" i="12" s="1"/>
  <c r="B38" i="3"/>
  <c r="C2" i="3"/>
  <c r="F4" i="7" s="1"/>
  <c r="C17" i="3"/>
  <c r="B2" i="3"/>
  <c r="B4" i="7" s="1"/>
  <c r="B21" i="7" s="1"/>
  <c r="D21" i="7" s="1"/>
  <c r="B17" i="3"/>
  <c r="B24" i="4"/>
  <c r="D24" i="4" s="1"/>
  <c r="B39" i="4"/>
  <c r="D39" i="4" s="1"/>
  <c r="F20" i="12"/>
  <c r="G20" i="12" s="1"/>
  <c r="F16" i="12"/>
  <c r="G16" i="12" s="1"/>
  <c r="B29" i="11"/>
  <c r="D29" i="11" s="1"/>
  <c r="B12" i="11"/>
  <c r="D12" i="11" s="1"/>
  <c r="F28" i="12"/>
  <c r="G28" i="12" s="1"/>
  <c r="F12" i="12"/>
  <c r="G12" i="12" s="1"/>
  <c r="F24" i="12"/>
  <c r="G24" i="12" s="1"/>
  <c r="F8" i="12"/>
  <c r="G8" i="12" s="1"/>
  <c r="F36" i="12"/>
  <c r="G36" i="12" s="1"/>
  <c r="B34" i="4"/>
  <c r="D34" i="4" s="1"/>
  <c r="B22" i="4"/>
  <c r="D22" i="4" s="1"/>
  <c r="B3" i="4"/>
  <c r="D3" i="4" s="1"/>
  <c r="B33" i="4"/>
  <c r="D33" i="4" s="1"/>
  <c r="B26" i="4"/>
  <c r="D26" i="4" s="1"/>
  <c r="B37" i="4"/>
  <c r="D37" i="4" s="1"/>
  <c r="B25" i="4"/>
  <c r="D25" i="4" s="1"/>
  <c r="B36" i="4"/>
  <c r="D36" i="4" s="1"/>
  <c r="B18" i="4"/>
  <c r="D18" i="4" s="1"/>
  <c r="B29" i="4"/>
  <c r="D29" i="4" s="1"/>
  <c r="B23" i="4"/>
  <c r="D23" i="4" s="1"/>
  <c r="B17" i="4"/>
  <c r="D17" i="4" s="1"/>
  <c r="B28" i="4"/>
  <c r="D28" i="4" s="1"/>
  <c r="B38" i="4"/>
  <c r="D38" i="4" s="1"/>
  <c r="B27" i="4"/>
  <c r="D27" i="4" s="1"/>
  <c r="B21" i="4"/>
  <c r="D21" i="4" s="1"/>
  <c r="B32" i="4"/>
  <c r="D32" i="4" s="1"/>
  <c r="B31" i="4"/>
  <c r="D31" i="4" s="1"/>
  <c r="B20" i="4"/>
  <c r="D20" i="4" s="1"/>
  <c r="B30" i="4"/>
  <c r="D30" i="4" s="1"/>
  <c r="B19" i="4"/>
  <c r="D19" i="4" s="1"/>
  <c r="B38" i="5"/>
  <c r="D38" i="5" s="1"/>
  <c r="B34" i="5"/>
  <c r="D34" i="5" s="1"/>
  <c r="B30" i="5"/>
  <c r="D30" i="5" s="1"/>
  <c r="B26" i="5"/>
  <c r="D26" i="5" s="1"/>
  <c r="B22" i="5"/>
  <c r="D22" i="5" s="1"/>
  <c r="B18" i="5"/>
  <c r="D18" i="5" s="1"/>
  <c r="B14" i="5"/>
  <c r="D14" i="5" s="1"/>
  <c r="B10" i="5"/>
  <c r="D10" i="5" s="1"/>
  <c r="B6" i="5"/>
  <c r="D6" i="5" s="1"/>
  <c r="B9" i="5"/>
  <c r="D9" i="5" s="1"/>
  <c r="B25" i="5"/>
  <c r="D25" i="5" s="1"/>
  <c r="B40" i="5"/>
  <c r="D40" i="5" s="1"/>
  <c r="B24" i="5"/>
  <c r="D24" i="5" s="1"/>
  <c r="B8" i="5"/>
  <c r="D8" i="5" s="1"/>
  <c r="B31" i="5"/>
  <c r="D31" i="5" s="1"/>
  <c r="B15" i="5"/>
  <c r="D15" i="5" s="1"/>
  <c r="B28" i="5"/>
  <c r="D28" i="5" s="1"/>
  <c r="B19" i="5"/>
  <c r="D19" i="5" s="1"/>
  <c r="B13" i="5"/>
  <c r="D13" i="5" s="1"/>
  <c r="B29" i="5"/>
  <c r="D29" i="5" s="1"/>
  <c r="B36" i="5"/>
  <c r="D36" i="5" s="1"/>
  <c r="B20" i="5"/>
  <c r="D20" i="5" s="1"/>
  <c r="B27" i="5"/>
  <c r="D27" i="5" s="1"/>
  <c r="B11" i="5"/>
  <c r="D11" i="5" s="1"/>
  <c r="B5" i="5"/>
  <c r="D5" i="5" s="1"/>
  <c r="B21" i="5"/>
  <c r="D21" i="5" s="1"/>
  <c r="B37" i="5"/>
  <c r="D37" i="5" s="1"/>
  <c r="B35" i="5"/>
  <c r="D35" i="5" s="1"/>
  <c r="B17" i="5"/>
  <c r="D17" i="5" s="1"/>
  <c r="B33" i="5"/>
  <c r="D33" i="5" s="1"/>
  <c r="B32" i="5"/>
  <c r="D32" i="5" s="1"/>
  <c r="B16" i="5"/>
  <c r="D16" i="5" s="1"/>
  <c r="B39" i="5"/>
  <c r="D39" i="5" s="1"/>
  <c r="B23" i="5"/>
  <c r="D23" i="5" s="1"/>
  <c r="B7" i="5"/>
  <c r="D7" i="5" s="1"/>
  <c r="B12" i="5"/>
  <c r="D12" i="5" s="1"/>
  <c r="F4" i="13"/>
  <c r="G4" i="13" s="1"/>
  <c r="C3" i="3"/>
  <c r="B4" i="13"/>
  <c r="B3" i="3"/>
  <c r="B26" i="11"/>
  <c r="D26" i="11" s="1"/>
  <c r="B23" i="11"/>
  <c r="D23" i="11" s="1"/>
  <c r="B18" i="11"/>
  <c r="D18" i="11" s="1"/>
  <c r="B10" i="11"/>
  <c r="D10" i="11" s="1"/>
  <c r="B21" i="11"/>
  <c r="D21" i="11" s="1"/>
  <c r="B19" i="11"/>
  <c r="D19" i="11" s="1"/>
  <c r="B13" i="11"/>
  <c r="D13" i="11" s="1"/>
  <c r="B11" i="11"/>
  <c r="D11" i="11" s="1"/>
  <c r="B5" i="11"/>
  <c r="D5" i="11" s="1"/>
  <c r="B27" i="11"/>
  <c r="D27" i="11" s="1"/>
  <c r="B22" i="11"/>
  <c r="D22" i="11" s="1"/>
  <c r="B14" i="11"/>
  <c r="D14" i="11" s="1"/>
  <c r="B6" i="11"/>
  <c r="D6" i="11" s="1"/>
  <c r="B17" i="11"/>
  <c r="D17" i="11" s="1"/>
  <c r="B9" i="11"/>
  <c r="D9" i="11" s="1"/>
  <c r="B7" i="11"/>
  <c r="D7" i="11" s="1"/>
  <c r="B15" i="11"/>
  <c r="D15" i="11" s="1"/>
  <c r="F40" i="12"/>
  <c r="G40" i="12" s="1"/>
  <c r="F39" i="12"/>
  <c r="G39" i="12" s="1"/>
  <c r="F35" i="12"/>
  <c r="G35" i="12" s="1"/>
  <c r="F31" i="12"/>
  <c r="G31" i="12" s="1"/>
  <c r="F27" i="12"/>
  <c r="G27" i="12" s="1"/>
  <c r="F23" i="12"/>
  <c r="G23" i="12" s="1"/>
  <c r="F19" i="12"/>
  <c r="G19" i="12" s="1"/>
  <c r="F15" i="12"/>
  <c r="G15" i="12" s="1"/>
  <c r="F11" i="12"/>
  <c r="G11" i="12" s="1"/>
  <c r="F7" i="12"/>
  <c r="G7" i="12" s="1"/>
  <c r="F37" i="12"/>
  <c r="G37" i="12" s="1"/>
  <c r="F33" i="12"/>
  <c r="G33" i="12" s="1"/>
  <c r="F29" i="12"/>
  <c r="G29" i="12" s="1"/>
  <c r="F25" i="12"/>
  <c r="G25" i="12" s="1"/>
  <c r="F21" i="12"/>
  <c r="G21" i="12" s="1"/>
  <c r="F17" i="12"/>
  <c r="G17" i="12" s="1"/>
  <c r="F13" i="12"/>
  <c r="G13" i="12" s="1"/>
  <c r="F9" i="12"/>
  <c r="G9" i="12" s="1"/>
  <c r="F5" i="12"/>
  <c r="G5" i="12" s="1"/>
  <c r="F30" i="12"/>
  <c r="G30" i="12" s="1"/>
  <c r="F14" i="12"/>
  <c r="G14" i="12" s="1"/>
  <c r="F18" i="12"/>
  <c r="G18" i="12" s="1"/>
  <c r="F26" i="12"/>
  <c r="G26" i="12" s="1"/>
  <c r="F10" i="12"/>
  <c r="G10" i="12" s="1"/>
  <c r="F38" i="12"/>
  <c r="G38" i="12" s="1"/>
  <c r="F22" i="12"/>
  <c r="G22" i="12" s="1"/>
  <c r="F6" i="12"/>
  <c r="G6" i="12" s="1"/>
  <c r="F34" i="12"/>
  <c r="G34" i="12" s="1"/>
  <c r="B16" i="11" l="1"/>
  <c r="D16" i="11" s="1"/>
  <c r="B25" i="11"/>
  <c r="D25" i="11" s="1"/>
  <c r="B30" i="11"/>
  <c r="D30" i="11" s="1"/>
  <c r="B35" i="11"/>
  <c r="D35" i="11" s="1"/>
  <c r="B8" i="11"/>
  <c r="D8" i="11" s="1"/>
  <c r="B25" i="2"/>
  <c r="D25" i="2" s="1"/>
  <c r="B18" i="2"/>
  <c r="D18" i="2" s="1"/>
  <c r="B4" i="2"/>
  <c r="D4" i="2" s="1"/>
  <c r="B31" i="2"/>
  <c r="D31" i="2" s="1"/>
  <c r="B8" i="2"/>
  <c r="D8" i="2" s="1"/>
  <c r="B34" i="2"/>
  <c r="D34" i="2" s="1"/>
  <c r="B6" i="2"/>
  <c r="D6" i="2" s="1"/>
  <c r="B15" i="2"/>
  <c r="D15" i="2" s="1"/>
  <c r="B28" i="2"/>
  <c r="D28" i="2" s="1"/>
  <c r="B16" i="2"/>
  <c r="D16" i="2" s="1"/>
  <c r="B13" i="2"/>
  <c r="D13" i="2" s="1"/>
  <c r="B22" i="2"/>
  <c r="D22" i="2" s="1"/>
  <c r="B10" i="2"/>
  <c r="D10" i="2" s="1"/>
  <c r="B14" i="2"/>
  <c r="D14" i="2" s="1"/>
  <c r="B27" i="2"/>
  <c r="D27" i="2" s="1"/>
  <c r="B29" i="2"/>
  <c r="D29" i="2" s="1"/>
  <c r="B38" i="2"/>
  <c r="D38" i="2" s="1"/>
  <c r="B26" i="2"/>
  <c r="D26" i="2" s="1"/>
  <c r="B9" i="2"/>
  <c r="D9" i="2" s="1"/>
  <c r="B19" i="2"/>
  <c r="D19" i="2" s="1"/>
  <c r="B35" i="2"/>
  <c r="D35" i="2" s="1"/>
  <c r="B17" i="2"/>
  <c r="D17" i="2" s="1"/>
  <c r="B5" i="2"/>
  <c r="D5" i="2" s="1"/>
  <c r="B12" i="2"/>
  <c r="D12" i="2" s="1"/>
  <c r="B39" i="2"/>
  <c r="D39" i="2" s="1"/>
  <c r="B21" i="2"/>
  <c r="D21" i="2" s="1"/>
  <c r="B23" i="2"/>
  <c r="D23" i="2" s="1"/>
  <c r="B36" i="2"/>
  <c r="D36" i="2" s="1"/>
  <c r="B32" i="2"/>
  <c r="D32" i="2" s="1"/>
  <c r="B37" i="2"/>
  <c r="D37" i="2" s="1"/>
  <c r="B30" i="2"/>
  <c r="D30" i="2" s="1"/>
  <c r="B33" i="2"/>
  <c r="D33" i="2" s="1"/>
  <c r="B7" i="2"/>
  <c r="D7" i="2" s="1"/>
  <c r="B20" i="2"/>
  <c r="D20" i="2" s="1"/>
  <c r="B11" i="2"/>
  <c r="D11" i="2" s="1"/>
  <c r="B24" i="2"/>
  <c r="D24" i="2" s="1"/>
  <c r="F39" i="5"/>
  <c r="G39" i="5" s="1"/>
  <c r="F28" i="5"/>
  <c r="G28" i="5" s="1"/>
  <c r="F35" i="5"/>
  <c r="G35" i="5" s="1"/>
  <c r="F31" i="5"/>
  <c r="G31" i="5" s="1"/>
  <c r="F22" i="5"/>
  <c r="G22" i="5" s="1"/>
  <c r="F37" i="5"/>
  <c r="G37" i="5" s="1"/>
  <c r="F10" i="5"/>
  <c r="G10" i="5" s="1"/>
  <c r="G4" i="5"/>
  <c r="B35" i="4"/>
  <c r="D35" i="4" s="1"/>
  <c r="B10" i="4"/>
  <c r="D10" i="4" s="1"/>
  <c r="B6" i="4"/>
  <c r="D6" i="4" s="1"/>
  <c r="B7" i="4"/>
  <c r="D7" i="4" s="1"/>
  <c r="B11" i="4"/>
  <c r="D11" i="4" s="1"/>
  <c r="B12" i="4"/>
  <c r="D12" i="4" s="1"/>
  <c r="B13" i="4"/>
  <c r="D13" i="4" s="1"/>
  <c r="B14" i="4"/>
  <c r="D14" i="4" s="1"/>
  <c r="B15" i="4"/>
  <c r="D15" i="4" s="1"/>
  <c r="B16" i="4"/>
  <c r="D16" i="4" s="1"/>
  <c r="B5" i="4"/>
  <c r="D5" i="4" s="1"/>
  <c r="B8" i="4"/>
  <c r="D8" i="4" s="1"/>
  <c r="B4" i="4"/>
  <c r="D4" i="4" s="1"/>
  <c r="B9" i="4"/>
  <c r="D9" i="4" s="1"/>
  <c r="F32" i="5"/>
  <c r="G32" i="5" s="1"/>
  <c r="F9" i="5"/>
  <c r="G9" i="5" s="1"/>
  <c r="F21" i="5"/>
  <c r="G21" i="5" s="1"/>
  <c r="F24" i="5"/>
  <c r="G24" i="5" s="1"/>
  <c r="F40" i="5"/>
  <c r="G40" i="5" s="1"/>
  <c r="F19" i="5"/>
  <c r="G19" i="5" s="1"/>
  <c r="B31" i="11"/>
  <c r="D31" i="11" s="1"/>
  <c r="B34" i="11"/>
  <c r="D34" i="11" s="1"/>
  <c r="B28" i="11"/>
  <c r="D28" i="11" s="1"/>
  <c r="B40" i="11"/>
  <c r="D40" i="11" s="1"/>
  <c r="B20" i="11"/>
  <c r="D20" i="11" s="1"/>
  <c r="B33" i="11"/>
  <c r="D33" i="11" s="1"/>
  <c r="F31" i="11"/>
  <c r="G31" i="11" s="1"/>
  <c r="F40" i="11"/>
  <c r="G40" i="11" s="1"/>
  <c r="F21" i="11"/>
  <c r="G21" i="11" s="1"/>
  <c r="F8" i="11"/>
  <c r="G8" i="11" s="1"/>
  <c r="F18" i="11"/>
  <c r="G18" i="11" s="1"/>
  <c r="F7" i="11"/>
  <c r="G7" i="11" s="1"/>
  <c r="F13" i="11"/>
  <c r="G13" i="11" s="1"/>
  <c r="F28" i="11"/>
  <c r="G28" i="11" s="1"/>
  <c r="F25" i="11"/>
  <c r="G25" i="11" s="1"/>
  <c r="F6" i="11"/>
  <c r="G6" i="11" s="1"/>
  <c r="F29" i="11"/>
  <c r="G29" i="11" s="1"/>
  <c r="F36" i="11"/>
  <c r="G36" i="11" s="1"/>
  <c r="F24" i="11"/>
  <c r="G24" i="11" s="1"/>
  <c r="F35" i="11"/>
  <c r="G35" i="11" s="1"/>
  <c r="F14" i="11"/>
  <c r="G14" i="11" s="1"/>
  <c r="F30" i="11"/>
  <c r="G30" i="11" s="1"/>
  <c r="F39" i="11"/>
  <c r="G39" i="11" s="1"/>
  <c r="F20" i="11"/>
  <c r="G20" i="11" s="1"/>
  <c r="F37" i="11"/>
  <c r="G37" i="11" s="1"/>
  <c r="F15" i="11"/>
  <c r="G15" i="11" s="1"/>
  <c r="F32" i="11"/>
  <c r="G32" i="11" s="1"/>
  <c r="F34" i="11"/>
  <c r="G34" i="11" s="1"/>
  <c r="F12" i="11"/>
  <c r="G12" i="11" s="1"/>
  <c r="F19" i="11"/>
  <c r="G19" i="11" s="1"/>
  <c r="F22" i="11"/>
  <c r="G22" i="11" s="1"/>
  <c r="F23" i="11"/>
  <c r="G23" i="11" s="1"/>
  <c r="F27" i="11"/>
  <c r="G27" i="11" s="1"/>
  <c r="F17" i="11"/>
  <c r="G17" i="11" s="1"/>
  <c r="F11" i="11"/>
  <c r="G11" i="11" s="1"/>
  <c r="F33" i="11"/>
  <c r="G33" i="11" s="1"/>
  <c r="F38" i="11"/>
  <c r="G38" i="11" s="1"/>
  <c r="F9" i="11"/>
  <c r="G9" i="11" s="1"/>
  <c r="F26" i="11"/>
  <c r="G26" i="11" s="1"/>
  <c r="F5" i="11"/>
  <c r="G5" i="11" s="1"/>
  <c r="F16" i="11"/>
  <c r="G16" i="11" s="1"/>
  <c r="F10" i="11"/>
  <c r="G10" i="11" s="1"/>
  <c r="B39" i="11"/>
  <c r="D39" i="11" s="1"/>
  <c r="B32" i="11"/>
  <c r="D32" i="11" s="1"/>
  <c r="B24" i="11"/>
  <c r="D24" i="11" s="1"/>
  <c r="B37" i="11"/>
  <c r="D37" i="11" s="1"/>
  <c r="B36" i="11"/>
  <c r="D36" i="11" s="1"/>
  <c r="B24" i="12"/>
  <c r="D24" i="12" s="1"/>
  <c r="B26" i="12"/>
  <c r="D26" i="12" s="1"/>
  <c r="B29" i="12"/>
  <c r="D29" i="12" s="1"/>
  <c r="B15" i="12"/>
  <c r="D15" i="12" s="1"/>
  <c r="B13" i="12"/>
  <c r="D13" i="12" s="1"/>
  <c r="B38" i="12"/>
  <c r="D38" i="12" s="1"/>
  <c r="B31" i="12"/>
  <c r="D31" i="12" s="1"/>
  <c r="B27" i="12"/>
  <c r="D27" i="12" s="1"/>
  <c r="B28" i="12"/>
  <c r="D28" i="12" s="1"/>
  <c r="B18" i="12"/>
  <c r="D18" i="12" s="1"/>
  <c r="B5" i="12"/>
  <c r="D5" i="12" s="1"/>
  <c r="B30" i="12"/>
  <c r="D30" i="12" s="1"/>
  <c r="B20" i="12"/>
  <c r="D20" i="12" s="1"/>
  <c r="B22" i="12"/>
  <c r="D22" i="12" s="1"/>
  <c r="B11" i="12"/>
  <c r="D11" i="12" s="1"/>
  <c r="B25" i="12"/>
  <c r="D25" i="12" s="1"/>
  <c r="B17" i="12"/>
  <c r="D17" i="12" s="1"/>
  <c r="B37" i="12"/>
  <c r="D37" i="12" s="1"/>
  <c r="B35" i="12"/>
  <c r="D35" i="12" s="1"/>
  <c r="B12" i="12"/>
  <c r="D12" i="12" s="1"/>
  <c r="B32" i="12"/>
  <c r="D32" i="12" s="1"/>
  <c r="B40" i="12"/>
  <c r="D40" i="12" s="1"/>
  <c r="B14" i="12"/>
  <c r="D14" i="12" s="1"/>
  <c r="B9" i="12"/>
  <c r="D9" i="12" s="1"/>
  <c r="B7" i="12"/>
  <c r="D7" i="12" s="1"/>
  <c r="B23" i="12"/>
  <c r="D23" i="12" s="1"/>
  <c r="B19" i="12"/>
  <c r="D19" i="12" s="1"/>
  <c r="B6" i="12"/>
  <c r="D6" i="12" s="1"/>
  <c r="B8" i="12"/>
  <c r="D8" i="12" s="1"/>
  <c r="B21" i="12"/>
  <c r="D21" i="12" s="1"/>
  <c r="B16" i="12"/>
  <c r="D16" i="12" s="1"/>
  <c r="B33" i="12"/>
  <c r="D33" i="12" s="1"/>
  <c r="B34" i="12"/>
  <c r="D34" i="12" s="1"/>
  <c r="B10" i="12"/>
  <c r="D10" i="12" s="1"/>
  <c r="B36" i="12"/>
  <c r="D36" i="12" s="1"/>
  <c r="G4" i="12"/>
  <c r="F14" i="7"/>
  <c r="G14" i="7" s="1"/>
  <c r="F16" i="7"/>
  <c r="G16" i="7" s="1"/>
  <c r="F34" i="5"/>
  <c r="G34" i="5" s="1"/>
  <c r="F13" i="5"/>
  <c r="G13" i="5" s="1"/>
  <c r="F17" i="5"/>
  <c r="G17" i="5" s="1"/>
  <c r="F15" i="5"/>
  <c r="G15" i="5" s="1"/>
  <c r="F18" i="5"/>
  <c r="G18" i="5" s="1"/>
  <c r="F29" i="5"/>
  <c r="G29" i="5" s="1"/>
  <c r="F16" i="5"/>
  <c r="G16" i="5" s="1"/>
  <c r="F30" i="5"/>
  <c r="G30" i="5" s="1"/>
  <c r="F14" i="5"/>
  <c r="G14" i="5" s="1"/>
  <c r="F36" i="5"/>
  <c r="G36" i="5" s="1"/>
  <c r="F7" i="5"/>
  <c r="G7" i="5" s="1"/>
  <c r="F27" i="5"/>
  <c r="G27" i="5" s="1"/>
  <c r="F38" i="5"/>
  <c r="G38" i="5" s="1"/>
  <c r="F25" i="5"/>
  <c r="G25" i="5" s="1"/>
  <c r="F6" i="5"/>
  <c r="G6" i="5" s="1"/>
  <c r="F8" i="5"/>
  <c r="G8" i="5" s="1"/>
  <c r="F26" i="5"/>
  <c r="G26" i="5" s="1"/>
  <c r="F23" i="5"/>
  <c r="G23" i="5" s="1"/>
  <c r="F11" i="5"/>
  <c r="G11" i="5" s="1"/>
  <c r="F33" i="5"/>
  <c r="G33" i="5" s="1"/>
  <c r="F5" i="5"/>
  <c r="G5" i="5" s="1"/>
  <c r="F12" i="5"/>
  <c r="G12" i="5" s="1"/>
  <c r="B18" i="7"/>
  <c r="D18" i="7" s="1"/>
  <c r="B23" i="7"/>
  <c r="D23" i="7" s="1"/>
  <c r="B7" i="7"/>
  <c r="D7" i="7" s="1"/>
  <c r="B10" i="7"/>
  <c r="D10" i="7" s="1"/>
  <c r="B36" i="7"/>
  <c r="D36" i="7" s="1"/>
  <c r="B38" i="7"/>
  <c r="D38" i="7" s="1"/>
  <c r="B6" i="7"/>
  <c r="D6" i="7" s="1"/>
  <c r="B19" i="7"/>
  <c r="D19" i="7" s="1"/>
  <c r="B13" i="7"/>
  <c r="D13" i="7" s="1"/>
  <c r="B11" i="7"/>
  <c r="D11" i="7" s="1"/>
  <c r="B28" i="7"/>
  <c r="D28" i="7" s="1"/>
  <c r="B34" i="7"/>
  <c r="D34" i="7" s="1"/>
  <c r="B40" i="7"/>
  <c r="D40" i="7" s="1"/>
  <c r="B15" i="7"/>
  <c r="D15" i="7" s="1"/>
  <c r="B9" i="7"/>
  <c r="D9" i="7" s="1"/>
  <c r="B8" i="7"/>
  <c r="D8" i="7" s="1"/>
  <c r="B35" i="7"/>
  <c r="D35" i="7" s="1"/>
  <c r="B27" i="7"/>
  <c r="D27" i="7" s="1"/>
  <c r="B20" i="7"/>
  <c r="D20" i="7" s="1"/>
  <c r="B30" i="7"/>
  <c r="D30" i="7" s="1"/>
  <c r="B32" i="7"/>
  <c r="D32" i="7" s="1"/>
  <c r="B37" i="7"/>
  <c r="D37" i="7" s="1"/>
  <c r="B5" i="7"/>
  <c r="D5" i="7" s="1"/>
  <c r="B31" i="7"/>
  <c r="D31" i="7" s="1"/>
  <c r="B17" i="7"/>
  <c r="D17" i="7" s="1"/>
  <c r="B12" i="7"/>
  <c r="D12" i="7" s="1"/>
  <c r="B26" i="7"/>
  <c r="D26" i="7" s="1"/>
  <c r="B24" i="7"/>
  <c r="D24" i="7" s="1"/>
  <c r="B33" i="7"/>
  <c r="D33" i="7" s="1"/>
  <c r="B14" i="7"/>
  <c r="D14" i="7" s="1"/>
  <c r="B39" i="7"/>
  <c r="D39" i="7" s="1"/>
  <c r="B22" i="7"/>
  <c r="D22" i="7" s="1"/>
  <c r="B16" i="7"/>
  <c r="D16" i="7" s="1"/>
  <c r="B29" i="7"/>
  <c r="D29" i="7" s="1"/>
  <c r="B25" i="7"/>
  <c r="D25" i="7" s="1"/>
  <c r="F12" i="7"/>
  <c r="G12" i="7" s="1"/>
  <c r="F39" i="7"/>
  <c r="G39" i="7" s="1"/>
  <c r="F28" i="7"/>
  <c r="G28" i="7" s="1"/>
  <c r="F20" i="7"/>
  <c r="G20" i="7" s="1"/>
  <c r="F15" i="7"/>
  <c r="G15" i="7" s="1"/>
  <c r="F31" i="7"/>
  <c r="G31" i="7" s="1"/>
  <c r="F7" i="7"/>
  <c r="G7" i="7" s="1"/>
  <c r="F11" i="7"/>
  <c r="G11" i="7" s="1"/>
  <c r="F36" i="7"/>
  <c r="G36" i="7" s="1"/>
  <c r="F5" i="7"/>
  <c r="G5" i="7" s="1"/>
  <c r="F35" i="7"/>
  <c r="G35" i="7" s="1"/>
  <c r="F32" i="7"/>
  <c r="G32" i="7" s="1"/>
  <c r="F24" i="7"/>
  <c r="G24" i="7" s="1"/>
  <c r="F25" i="7"/>
  <c r="G25" i="7" s="1"/>
  <c r="F30" i="7"/>
  <c r="G30" i="7" s="1"/>
  <c r="F19" i="7"/>
  <c r="G19" i="7" s="1"/>
  <c r="F8" i="7"/>
  <c r="G8" i="7" s="1"/>
  <c r="F23" i="7"/>
  <c r="G23" i="7" s="1"/>
  <c r="F27" i="7"/>
  <c r="G27" i="7" s="1"/>
  <c r="F40" i="7"/>
  <c r="G40" i="7" s="1"/>
  <c r="G4" i="7"/>
  <c r="F29" i="7"/>
  <c r="G29" i="7" s="1"/>
  <c r="F6" i="7"/>
  <c r="G6" i="7" s="1"/>
  <c r="F26" i="7"/>
  <c r="G26" i="7" s="1"/>
  <c r="F33" i="7"/>
  <c r="G33" i="7" s="1"/>
  <c r="F22" i="7"/>
  <c r="G22" i="7" s="1"/>
  <c r="F21" i="7"/>
  <c r="G21" i="7" s="1"/>
  <c r="F10" i="7"/>
  <c r="G10" i="7" s="1"/>
  <c r="F34" i="7"/>
  <c r="G34" i="7" s="1"/>
  <c r="F37" i="7"/>
  <c r="G37" i="7" s="1"/>
  <c r="F17" i="7"/>
  <c r="G17" i="7" s="1"/>
  <c r="F18" i="7"/>
  <c r="G18" i="7" s="1"/>
  <c r="F38" i="7"/>
  <c r="G38" i="7" s="1"/>
  <c r="F13" i="7"/>
  <c r="G13" i="7" s="1"/>
  <c r="F9" i="7"/>
  <c r="G9" i="7" s="1"/>
  <c r="B25" i="13"/>
  <c r="D25" i="13" s="1"/>
  <c r="B9" i="13"/>
  <c r="D9" i="13" s="1"/>
  <c r="B8" i="13"/>
  <c r="D8" i="13" s="1"/>
  <c r="B24" i="13"/>
  <c r="D24" i="13" s="1"/>
  <c r="B40" i="13"/>
  <c r="D40" i="13" s="1"/>
  <c r="B23" i="13"/>
  <c r="D23" i="13" s="1"/>
  <c r="B39" i="13"/>
  <c r="D39" i="13" s="1"/>
  <c r="B18" i="13"/>
  <c r="D18" i="13" s="1"/>
  <c r="B34" i="13"/>
  <c r="D34" i="13" s="1"/>
  <c r="B29" i="13"/>
  <c r="D29" i="13" s="1"/>
  <c r="B6" i="13"/>
  <c r="D6" i="13" s="1"/>
  <c r="B36" i="13"/>
  <c r="D36" i="13" s="1"/>
  <c r="B14" i="13"/>
  <c r="D14" i="13" s="1"/>
  <c r="B37" i="13"/>
  <c r="D37" i="13" s="1"/>
  <c r="B21" i="13"/>
  <c r="D21" i="13" s="1"/>
  <c r="B7" i="13"/>
  <c r="D7" i="13" s="1"/>
  <c r="B12" i="13"/>
  <c r="D12" i="13" s="1"/>
  <c r="B28" i="13"/>
  <c r="D28" i="13" s="1"/>
  <c r="B11" i="13"/>
  <c r="D11" i="13" s="1"/>
  <c r="B27" i="13"/>
  <c r="D27" i="13" s="1"/>
  <c r="B22" i="13"/>
  <c r="D22" i="13" s="1"/>
  <c r="B38" i="13"/>
  <c r="D38" i="13" s="1"/>
  <c r="B13" i="13"/>
  <c r="D13" i="13" s="1"/>
  <c r="B20" i="13"/>
  <c r="D20" i="13" s="1"/>
  <c r="B19" i="13"/>
  <c r="D19" i="13" s="1"/>
  <c r="B30" i="13"/>
  <c r="D30" i="13" s="1"/>
  <c r="B33" i="13"/>
  <c r="D33" i="13" s="1"/>
  <c r="B17" i="13"/>
  <c r="D17" i="13" s="1"/>
  <c r="B5" i="13"/>
  <c r="D5" i="13" s="1"/>
  <c r="B16" i="13"/>
  <c r="D16" i="13" s="1"/>
  <c r="B32" i="13"/>
  <c r="D32" i="13" s="1"/>
  <c r="B15" i="13"/>
  <c r="D15" i="13" s="1"/>
  <c r="B31" i="13"/>
  <c r="D31" i="13" s="1"/>
  <c r="B10" i="13"/>
  <c r="D10" i="13" s="1"/>
  <c r="B26" i="13"/>
  <c r="D26" i="13" s="1"/>
  <c r="B35" i="13"/>
  <c r="D35" i="13" s="1"/>
  <c r="F39" i="13"/>
  <c r="G39" i="13" s="1"/>
  <c r="F23" i="13"/>
  <c r="G23" i="13" s="1"/>
  <c r="F7" i="13"/>
  <c r="G7" i="13" s="1"/>
  <c r="F35" i="13"/>
  <c r="G35" i="13" s="1"/>
  <c r="F19" i="13"/>
  <c r="G19" i="13" s="1"/>
  <c r="F5" i="13"/>
  <c r="G5" i="13" s="1"/>
  <c r="F31" i="13"/>
  <c r="G31" i="13" s="1"/>
  <c r="F15" i="13"/>
  <c r="G15" i="13" s="1"/>
  <c r="F6" i="13"/>
  <c r="G6" i="13" s="1"/>
  <c r="F27" i="13"/>
  <c r="G27" i="13" s="1"/>
  <c r="F11" i="13"/>
  <c r="G11" i="13" s="1"/>
  <c r="F26" i="13"/>
  <c r="G26" i="13" s="1"/>
  <c r="F10" i="13"/>
  <c r="G10" i="13" s="1"/>
  <c r="F13" i="13"/>
  <c r="G13" i="13" s="1"/>
  <c r="F21" i="13"/>
  <c r="G21" i="13" s="1"/>
  <c r="F29" i="13"/>
  <c r="G29" i="13" s="1"/>
  <c r="F37" i="13"/>
  <c r="G37" i="13" s="1"/>
  <c r="F20" i="13"/>
  <c r="G20" i="13" s="1"/>
  <c r="F38" i="13"/>
  <c r="G38" i="13" s="1"/>
  <c r="F22" i="13"/>
  <c r="G22" i="13" s="1"/>
  <c r="F8" i="13"/>
  <c r="G8" i="13" s="1"/>
  <c r="F16" i="13"/>
  <c r="G16" i="13" s="1"/>
  <c r="F24" i="13"/>
  <c r="G24" i="13" s="1"/>
  <c r="F32" i="13"/>
  <c r="G32" i="13" s="1"/>
  <c r="F40" i="13"/>
  <c r="G40" i="13" s="1"/>
  <c r="F12" i="13"/>
  <c r="G12" i="13" s="1"/>
  <c r="F36" i="13"/>
  <c r="G36" i="13" s="1"/>
  <c r="F34" i="13"/>
  <c r="G34" i="13" s="1"/>
  <c r="F18" i="13"/>
  <c r="G18" i="13" s="1"/>
  <c r="F9" i="13"/>
  <c r="G9" i="13" s="1"/>
  <c r="F17" i="13"/>
  <c r="G17" i="13" s="1"/>
  <c r="F25" i="13"/>
  <c r="G25" i="13" s="1"/>
  <c r="F33" i="13"/>
  <c r="G33" i="13" s="1"/>
  <c r="F30" i="13"/>
  <c r="G30" i="13" s="1"/>
  <c r="F28" i="13"/>
  <c r="G28" i="13" s="1"/>
  <c r="F14" i="13"/>
  <c r="G14" i="13" s="1"/>
  <c r="I20" i="14"/>
  <c r="I24" i="14" s="1"/>
</calcChain>
</file>

<file path=xl/sharedStrings.xml><?xml version="1.0" encoding="utf-8"?>
<sst xmlns="http://schemas.openxmlformats.org/spreadsheetml/2006/main" count="390" uniqueCount="114">
  <si>
    <t>SALARIOS BRUTOS</t>
  </si>
  <si>
    <t>P.P. EXTRAS</t>
  </si>
  <si>
    <t>INDEMNIZACION</t>
  </si>
  <si>
    <t>C. DESTINO (18)</t>
  </si>
  <si>
    <t>C. ESPECIFICO (28)</t>
  </si>
  <si>
    <t>C. DESTINO (14)</t>
  </si>
  <si>
    <t>C. ESPECIFICO (24)</t>
  </si>
  <si>
    <t>INDENIZACION</t>
  </si>
  <si>
    <t>€/MES (MÍNIMOS)</t>
  </si>
  <si>
    <t>€/MES (MAXIMOS)</t>
  </si>
  <si>
    <t>€/MES (MÁXIMOS)</t>
  </si>
  <si>
    <t>€/MES (MINIMOS)</t>
  </si>
  <si>
    <t>SUELDO (B)</t>
  </si>
  <si>
    <t>BASE MINIMA/HORA Tº PARCIAL GRUPO 1</t>
  </si>
  <si>
    <t>BASE MINIMA G1</t>
  </si>
  <si>
    <t>BASE MINIMA/HORA Tº PARCIAL GRUPO 2</t>
  </si>
  <si>
    <t>BASE MINIMA/HORA Tº PARCIAL GRUPO 4-11</t>
  </si>
  <si>
    <t>12 DIAS</t>
  </si>
  <si>
    <t>Retribución/año (*1)</t>
  </si>
  <si>
    <t>mínimas</t>
  </si>
  <si>
    <t>máximas</t>
  </si>
  <si>
    <t>PERSONAL INVESTIGADOR</t>
  </si>
  <si>
    <t>Investigador en Formación</t>
  </si>
  <si>
    <t>PERSONAL COLABORADOR EN TAREAS DE INVESTIGACIÓN</t>
  </si>
  <si>
    <t>Titulados superiores I</t>
  </si>
  <si>
    <t>Titulados superiores II</t>
  </si>
  <si>
    <t>Titulados de grado medio</t>
  </si>
  <si>
    <t>Especialistas Técnicos (*2)</t>
  </si>
  <si>
    <t>Auxiliares (*2)</t>
  </si>
  <si>
    <t>TOTAL</t>
  </si>
  <si>
    <t>INVESTIGADOR EN FORMACIÓN</t>
  </si>
  <si>
    <t>INVESTIGADOR JUNIOR</t>
  </si>
  <si>
    <t>INVESTIGADOR SENIOR</t>
  </si>
  <si>
    <t>BASE MINIMA/HORA Tº PARCIAL GRUPO 5</t>
  </si>
  <si>
    <t>AUXILIAR</t>
  </si>
  <si>
    <t>TOTAL…………………</t>
  </si>
  <si>
    <t>TOTAL…………….</t>
  </si>
  <si>
    <t>ESPECIALISTA TECNICO</t>
  </si>
  <si>
    <t>TITULADO SUPERIOR I</t>
  </si>
  <si>
    <t>TITULADO SUPERIOR II</t>
  </si>
  <si>
    <t>TITULADO DE GRADO MEDIO</t>
  </si>
  <si>
    <t>Investigador Senior</t>
  </si>
  <si>
    <t>Investigador Junior</t>
  </si>
  <si>
    <t>DEDICACION HORAS  SEMANALES</t>
  </si>
  <si>
    <t xml:space="preserve">RETRIBUCION MENSUAL BRUTA </t>
  </si>
  <si>
    <t>RETRIBUCIONES MINIMAS</t>
  </si>
  <si>
    <t>RETRIBUCIONES MAXIMAS</t>
  </si>
  <si>
    <t>Grupo de Cotización</t>
  </si>
  <si>
    <t>CONTINGENCIAS COMUNES</t>
  </si>
  <si>
    <t>BASE MINIMA HORA</t>
  </si>
  <si>
    <t>TOPE MÍNIMO</t>
  </si>
  <si>
    <t>TOPE MÁXIMO</t>
  </si>
  <si>
    <t>CONTINGENCIAS PROFESIONALES</t>
  </si>
  <si>
    <t>Base Cotización</t>
  </si>
  <si>
    <t>Tipos cotización %</t>
  </si>
  <si>
    <t>Cuota Patronal</t>
  </si>
  <si>
    <t>Contingencias Comunes</t>
  </si>
  <si>
    <t>Contingencias Profesionales</t>
  </si>
  <si>
    <t>Bases mínimas euros/mes</t>
  </si>
  <si>
    <t>Bases máximas euros/mes</t>
  </si>
  <si>
    <t>CALCULADORA COSTE SEG.SOCIAL TIEMPO COMPLETO</t>
  </si>
  <si>
    <t>TOTAL COSTE SEGURIDAD SOCIAL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</si>
  <si>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DEDICACION de HORAS semanales…………………………….……………………………….</t>
    </r>
  </si>
  <si>
    <t>CALCULADORA COSTE SEG.SOCIAL TIEMPO PARCIAL</t>
  </si>
  <si>
    <t>TOTAL COSTE SEGURIDAD SOCIAL……..</t>
  </si>
  <si>
    <t>CALCULO RC</t>
  </si>
  <si>
    <r>
      <rPr>
        <b/>
        <sz val="10"/>
        <rFont val="Verdana"/>
        <family val="2"/>
      </rPr>
      <t>(*) NOTA:</t>
    </r>
    <r>
      <rPr>
        <sz val="10"/>
        <rFont val="Verdana"/>
        <family val="2"/>
      </rPr>
      <t xml:space="preserve"> Para calcular el coste total del contrato/renovación para el periodo, utilice la siguiente plantilla………………………………………………………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</si>
  <si>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PROPUESTA ……….……………….……………………………….</t>
    </r>
  </si>
  <si>
    <t>Base mín.Cotiz.</t>
  </si>
  <si>
    <t>Tipo cotización %</t>
  </si>
  <si>
    <t>1º año, no inferior a</t>
  </si>
  <si>
    <t>2º año, no inferior a</t>
  </si>
  <si>
    <t>3º año, no inferior a</t>
  </si>
  <si>
    <t>4º año, no inferior a</t>
  </si>
  <si>
    <t>Prorrateo de la cuantía, para percibir identica cuantia anual</t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</si>
  <si>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distintas a las establecidas en tablas, según bases de la convocatoria,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</si>
  <si>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 xml:space="preserve">, para retribuciones comprendidas </t>
    </r>
    <r>
      <rPr>
        <b/>
        <sz val="9"/>
        <rFont val="Verdana"/>
        <family val="2"/>
      </rPr>
      <t>en el rango del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</si>
  <si>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r>
      <t>(</t>
    </r>
    <r>
      <rPr>
        <b/>
        <sz val="9"/>
        <rFont val="Verdana"/>
        <family val="2"/>
      </rPr>
      <t xml:space="preserve">*) NOTA: </t>
    </r>
    <r>
      <rPr>
        <sz val="9"/>
        <rFont val="Verdana"/>
        <family val="2"/>
      </rPr>
      <t xml:space="preserve">Cuando la dedicación es a </t>
    </r>
    <r>
      <rPr>
        <b/>
        <sz val="9"/>
        <rFont val="Verdana"/>
        <family val="2"/>
      </rPr>
      <t>TIEMPO PARCIAL</t>
    </r>
    <r>
      <rPr>
        <sz val="9"/>
        <rFont val="Verdana"/>
        <family val="2"/>
      </rPr>
      <t>, para retribuciones comprendidas en el</t>
    </r>
    <r>
      <rPr>
        <b/>
        <sz val="9"/>
        <rFont val="Verdana"/>
        <family val="2"/>
      </rPr>
      <t xml:space="preserve"> rango del intervalo</t>
    </r>
    <r>
      <rPr>
        <sz val="9"/>
        <rFont val="Verdana"/>
        <family val="2"/>
      </rPr>
      <t xml:space="preserve"> </t>
    </r>
    <r>
      <rPr>
        <b/>
        <sz val="9"/>
        <rFont val="Verdana"/>
        <family val="2"/>
      </rPr>
      <t>establecido</t>
    </r>
    <r>
      <rPr>
        <sz val="9"/>
        <rFont val="Verdana"/>
        <family val="2"/>
      </rPr>
      <t xml:space="preserve">, usar la siguiente calculadora para determinar el coste de Seguridad Social </t>
    </r>
  </si>
  <si>
    <t>RETRIBUCION BRUTA MENSUAL (12 pagas)</t>
  </si>
  <si>
    <t>RETRIBUCION MÍNIMA A PERCIBIR (TIEMPO COMPLETO)</t>
  </si>
  <si>
    <t>CONTRATO PREDOCTORAL</t>
  </si>
  <si>
    <t>Grupo de Cotización 1</t>
  </si>
  <si>
    <t>Base mínima/hora</t>
  </si>
  <si>
    <t>TOTAL COSTE SEGURIDAD SOCIAL……………..</t>
  </si>
  <si>
    <t>RETRIBUCION BRUTA MENSUAL (14 pagas)</t>
  </si>
  <si>
    <t>TOTAL COSTE SEGURIDAD SOCIAL……………………</t>
  </si>
  <si>
    <r>
      <t xml:space="preserve">CALCULADORA COSTE SEG.SOCIAL CONTRATO </t>
    </r>
    <r>
      <rPr>
        <b/>
        <sz val="11"/>
        <color rgb="FFFF0000"/>
        <rFont val="Verdana"/>
        <family val="2"/>
      </rPr>
      <t>PREDOCTORAL</t>
    </r>
  </si>
  <si>
    <r>
      <t xml:space="preserve">CALCULADORA COSTE SEG.SOCIAL CONTRATO                                                               </t>
    </r>
    <r>
      <rPr>
        <b/>
        <sz val="11"/>
        <color rgb="FFFF0000"/>
        <rFont val="Verdana"/>
        <family val="2"/>
      </rPr>
      <t xml:space="preserve"> EN PRÁCTICAS/ACCESO CIENCIA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</si>
  <si>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37,5</t>
    </r>
    <r>
      <rPr>
        <sz val="9"/>
        <color rgb="FF0033CC"/>
        <rFont val="Verdana"/>
        <family val="2"/>
      </rPr>
      <t xml:space="preserve"> </t>
    </r>
    <r>
      <rPr>
        <b/>
        <sz val="9"/>
        <color rgb="FF0033CC"/>
        <rFont val="Verdana"/>
        <family val="2"/>
      </rPr>
      <t>h/semana ………………………………</t>
    </r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</si>
  <si>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</t>
    </r>
    <r>
      <rPr>
        <sz val="9"/>
        <color rgb="FF0033CC"/>
        <rFont val="Verdana"/>
        <family val="2"/>
      </rPr>
      <t xml:space="preserve">para </t>
    </r>
    <r>
      <rPr>
        <b/>
        <sz val="9"/>
        <color rgb="FF0033CC"/>
        <rFont val="Verdana"/>
        <family val="2"/>
      </rPr>
      <t>37,5 h/semana ………………………………</t>
    </r>
  </si>
  <si>
    <t>BASE MINIMA G2</t>
  </si>
  <si>
    <t>BASE MINIMA G5</t>
  </si>
  <si>
    <t>BASE MINIMA G7</t>
  </si>
  <si>
    <t>RETRIBUCION BRUTA ANUAL (*)</t>
  </si>
  <si>
    <t>OCULTAR ESTA FILA AL PUBLICAR</t>
  </si>
  <si>
    <r>
      <rPr>
        <sz val="9"/>
        <color rgb="FF0033CC"/>
        <rFont val="Verdana"/>
        <family val="2"/>
      </rPr>
      <t>Por favor, introduzca la</t>
    </r>
    <r>
      <rPr>
        <b/>
        <sz val="9"/>
        <color rgb="FF0033CC"/>
        <rFont val="Verdana"/>
        <family val="2"/>
      </rPr>
      <t xml:space="preserve"> RETRIBUCION MENSUAL BRUTA PROPUESTA 37,5 h:</t>
    </r>
  </si>
  <si>
    <t>TITULADO GRADO MEDIO</t>
  </si>
  <si>
    <t xml:space="preserve">TABLAS RETRIBUTIVAS DEL PERSONAL INVESTIGADOR EN FORMACIÓN AÑO  2023                                                                                                        </t>
  </si>
  <si>
    <t>CALCULO RC E INDEMNIZACION</t>
  </si>
  <si>
    <r>
      <rPr>
        <b/>
        <sz val="10"/>
        <rFont val="Verdana"/>
        <family val="2"/>
      </rPr>
      <t>(*) REFERENCIA:</t>
    </r>
    <r>
      <rPr>
        <sz val="10"/>
        <rFont val="Verdana"/>
        <family val="2"/>
      </rPr>
      <t xml:space="preserve"> Conforme a las tablas retributivas del personal laboral IV Convenio colectivo único de la Administración General del Estado</t>
    </r>
  </si>
  <si>
    <t>Actualizado a 01.03.23</t>
  </si>
  <si>
    <t>TABLAS 2022</t>
  </si>
  <si>
    <t>TABLAS 2024 CON INCREMENTO 4% (2023:1,5% + 2,5%) y 0,5 + 0,5 de 2024) = 5%</t>
  </si>
  <si>
    <t>SUELDO (C2)</t>
  </si>
  <si>
    <t>Complemento Compensatorio CD (14)</t>
  </si>
  <si>
    <t>SUELDO (C1)</t>
  </si>
  <si>
    <t xml:space="preserve">TABLAS RETRIBUTIVAS DEL PERSONAL INVESTIGADOR AÑO 2024                                                                                                          </t>
  </si>
  <si>
    <t xml:space="preserve">TABLAS RETRIBUTIVAS DEL PERSONAL INVESTIGADOR AÑO 2024                                                                                                     </t>
  </si>
  <si>
    <t xml:space="preserve">TABLAS RETRIBUTIVAS DEL PERSONAL INVESTIGADOR AÑO 2024                                                                                                        </t>
  </si>
  <si>
    <t>TABLAS RETRIBUTIVAS DEL PERSONAL INVESTIGADOR AÑO 2024</t>
  </si>
  <si>
    <t xml:space="preserve">TABLAS RETRIBUTIVAS DEL PERSONAL INVESTIGADOR AÑO 2024                                                                                                       </t>
  </si>
  <si>
    <t>CUOTA  SEG.SOCIAL 31,98%</t>
  </si>
  <si>
    <t>CUOTA SEG.SOCIAL 31,98%</t>
  </si>
  <si>
    <t>Complemento Compensatorio CD (18)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</si>
</sst>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\ [$€-C0A]_-;\-* #,##0.00\ [$€-C0A]_-;_-* &quot;-&quot;??\ [$€-C0A]_-;_-@_-"/>
  </numFmts>
  <fonts count="4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mbria"/>
      <family val="1"/>
      <scheme val="major"/>
    </font>
    <font>
      <b/>
      <sz val="11"/>
      <name val="Cambria"/>
      <family val="1"/>
      <scheme val="major"/>
    </font>
    <font>
      <b/>
      <i/>
      <u/>
      <sz val="10"/>
      <name val="Verdana"/>
      <family val="2"/>
    </font>
    <font>
      <sz val="10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u/>
      <sz val="10"/>
      <name val="Verdana"/>
      <family val="2"/>
    </font>
    <font>
      <sz val="11"/>
      <color rgb="FF000000"/>
      <name val="Verdana"/>
      <family val="2"/>
    </font>
    <font>
      <sz val="11"/>
      <name val="Verdana"/>
      <family val="2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8"/>
      <color rgb="FF000000"/>
      <name val="Verdana"/>
      <family val="2"/>
    </font>
    <font>
      <sz val="8"/>
      <name val="Verdana"/>
      <family val="2"/>
    </font>
    <font>
      <b/>
      <sz val="8"/>
      <color rgb="FF000000"/>
      <name val="Verdana"/>
      <family val="2"/>
    </font>
    <font>
      <sz val="10"/>
      <name val="Arial"/>
      <family val="2"/>
    </font>
    <font>
      <sz val="9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9"/>
      <color rgb="FF0000CC"/>
      <name val="Verdana"/>
      <family val="2"/>
    </font>
    <font>
      <b/>
      <sz val="9"/>
      <color rgb="FF0033CC"/>
      <name val="Verdana"/>
      <family val="2"/>
    </font>
    <font>
      <sz val="9"/>
      <color rgb="FF0033CC"/>
      <name val="Verdana"/>
      <family val="2"/>
    </font>
    <font>
      <sz val="10"/>
      <color rgb="FF0033CC"/>
      <name val="Verdana"/>
      <family val="2"/>
    </font>
    <font>
      <i/>
      <sz val="10"/>
      <name val="Verdana"/>
      <family val="2"/>
    </font>
    <font>
      <b/>
      <sz val="10"/>
      <color rgb="FF0033CC"/>
      <name val="Verdana"/>
      <family val="2"/>
    </font>
    <font>
      <u/>
      <sz val="10"/>
      <color theme="10"/>
      <name val="Arial"/>
      <family val="2"/>
    </font>
    <font>
      <b/>
      <i/>
      <sz val="9"/>
      <color theme="0" tint="-0.34998626667073579"/>
      <name val="Verdana"/>
      <family val="2"/>
    </font>
    <font>
      <i/>
      <sz val="10"/>
      <color theme="0" tint="-0.34998626667073579"/>
      <name val="Verdana"/>
      <family val="2"/>
    </font>
    <font>
      <b/>
      <sz val="11"/>
      <color rgb="FFFF0000"/>
      <name val="Verdana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ashed">
        <color theme="0" tint="-0.24994659260841701"/>
      </top>
      <bottom style="dashed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dashed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/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dashed">
        <color theme="0" tint="-0.2499465926084170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dashed">
        <color theme="0" tint="-0.24994659260841701"/>
      </bottom>
      <diagonal/>
    </border>
    <border>
      <left style="thin">
        <color indexed="64"/>
      </left>
      <right/>
      <top style="dashed">
        <color theme="0" tint="-0.24994659260841701"/>
      </top>
      <bottom style="medium">
        <color indexed="64"/>
      </bottom>
      <diagonal/>
    </border>
    <border>
      <left/>
      <right/>
      <top style="dashed">
        <color theme="0" tint="-0.24994659260841701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33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2" fontId="4" fillId="0" borderId="0" xfId="0" applyNumberFormat="1" applyFont="1"/>
    <xf numFmtId="0" fontId="7" fillId="0" borderId="0" xfId="0" applyFont="1"/>
    <xf numFmtId="0" fontId="6" fillId="0" borderId="0" xfId="0" applyFont="1"/>
    <xf numFmtId="0" fontId="8" fillId="0" borderId="0" xfId="0" applyFont="1" applyBorder="1" applyAlignment="1">
      <alignment vertical="center"/>
    </xf>
    <xf numFmtId="0" fontId="7" fillId="0" borderId="13" xfId="0" applyFont="1" applyFill="1" applyBorder="1"/>
    <xf numFmtId="0" fontId="11" fillId="0" borderId="0" xfId="0" applyFont="1"/>
    <xf numFmtId="0" fontId="11" fillId="0" borderId="0" xfId="0" applyFont="1" applyAlignment="1">
      <alignment horizontal="right"/>
    </xf>
    <xf numFmtId="4" fontId="7" fillId="0" borderId="0" xfId="0" applyNumberFormat="1" applyFont="1"/>
    <xf numFmtId="0" fontId="9" fillId="0" borderId="18" xfId="0" applyFont="1" applyFill="1" applyBorder="1"/>
    <xf numFmtId="0" fontId="9" fillId="0" borderId="0" xfId="0" applyFont="1" applyFill="1" applyBorder="1"/>
    <xf numFmtId="0" fontId="7" fillId="0" borderId="0" xfId="0" applyFont="1" applyBorder="1"/>
    <xf numFmtId="2" fontId="9" fillId="0" borderId="0" xfId="0" applyNumberFormat="1" applyFont="1"/>
    <xf numFmtId="2" fontId="7" fillId="0" borderId="0" xfId="0" applyNumberFormat="1" applyFont="1"/>
    <xf numFmtId="2" fontId="7" fillId="0" borderId="0" xfId="0" applyNumberFormat="1" applyFont="1" applyBorder="1"/>
    <xf numFmtId="0" fontId="7" fillId="0" borderId="0" xfId="0" applyFont="1" applyAlignment="1">
      <alignment vertical="center"/>
    </xf>
    <xf numFmtId="0" fontId="7" fillId="0" borderId="18" xfId="0" applyFont="1" applyFill="1" applyBorder="1"/>
    <xf numFmtId="0" fontId="7" fillId="0" borderId="21" xfId="0" applyFont="1" applyFill="1" applyBorder="1"/>
    <xf numFmtId="0" fontId="7" fillId="0" borderId="19" xfId="0" applyFont="1" applyBorder="1"/>
    <xf numFmtId="0" fontId="7" fillId="0" borderId="20" xfId="0" applyFont="1" applyBorder="1"/>
    <xf numFmtId="0" fontId="16" fillId="2" borderId="4" xfId="0" applyFont="1" applyFill="1" applyBorder="1" applyAlignment="1">
      <alignment vertical="center"/>
    </xf>
    <xf numFmtId="0" fontId="9" fillId="0" borderId="0" xfId="0" applyFont="1"/>
    <xf numFmtId="0" fontId="14" fillId="0" borderId="11" xfId="0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center" wrapText="1"/>
    </xf>
    <xf numFmtId="0" fontId="13" fillId="0" borderId="0" xfId="0" applyFont="1" applyAlignment="1">
      <alignment vertical="center"/>
    </xf>
    <xf numFmtId="0" fontId="7" fillId="0" borderId="30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 shrinkToFit="1"/>
    </xf>
    <xf numFmtId="0" fontId="13" fillId="0" borderId="9" xfId="0" applyFont="1" applyBorder="1" applyAlignment="1">
      <alignment vertical="center"/>
    </xf>
    <xf numFmtId="0" fontId="9" fillId="3" borderId="27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/>
    </xf>
    <xf numFmtId="2" fontId="7" fillId="0" borderId="30" xfId="0" applyNumberFormat="1" applyFont="1" applyBorder="1" applyAlignment="1">
      <alignment horizontal="center"/>
    </xf>
    <xf numFmtId="2" fontId="7" fillId="0" borderId="31" xfId="0" applyNumberFormat="1" applyFont="1" applyBorder="1" applyAlignment="1">
      <alignment horizontal="center"/>
    </xf>
    <xf numFmtId="0" fontId="19" fillId="0" borderId="0" xfId="0" applyFont="1" applyAlignment="1">
      <alignment vertical="center"/>
    </xf>
    <xf numFmtId="0" fontId="19" fillId="0" borderId="33" xfId="0" applyFont="1" applyBorder="1" applyAlignment="1">
      <alignment horizontal="center" vertical="center"/>
    </xf>
    <xf numFmtId="2" fontId="7" fillId="0" borderId="0" xfId="1" applyNumberFormat="1" applyFont="1" applyAlignment="1">
      <alignment horizontal="center"/>
    </xf>
    <xf numFmtId="164" fontId="7" fillId="0" borderId="0" xfId="1" applyFont="1" applyAlignment="1">
      <alignment horizontal="center" vertical="center"/>
    </xf>
    <xf numFmtId="164" fontId="9" fillId="0" borderId="0" xfId="1" applyFont="1" applyAlignment="1">
      <alignment horizontal="center" vertical="center"/>
    </xf>
    <xf numFmtId="2" fontId="7" fillId="0" borderId="0" xfId="1" applyNumberFormat="1" applyFont="1" applyAlignment="1">
      <alignment horizontal="center" vertical="center"/>
    </xf>
    <xf numFmtId="2" fontId="7" fillId="0" borderId="31" xfId="1" applyNumberFormat="1" applyFont="1" applyBorder="1" applyAlignment="1">
      <alignment horizontal="center"/>
    </xf>
    <xf numFmtId="164" fontId="9" fillId="0" borderId="31" xfId="1" applyFont="1" applyBorder="1" applyAlignment="1">
      <alignment horizontal="center"/>
    </xf>
    <xf numFmtId="2" fontId="7" fillId="0" borderId="32" xfId="1" applyNumberFormat="1" applyFont="1" applyBorder="1" applyAlignment="1">
      <alignment horizontal="center"/>
    </xf>
    <xf numFmtId="164" fontId="9" fillId="0" borderId="32" xfId="1" applyFont="1" applyBorder="1" applyAlignment="1">
      <alignment horizontal="center"/>
    </xf>
    <xf numFmtId="0" fontId="19" fillId="0" borderId="34" xfId="0" applyFont="1" applyBorder="1" applyAlignment="1">
      <alignment vertical="center"/>
    </xf>
    <xf numFmtId="0" fontId="7" fillId="0" borderId="36" xfId="0" applyFont="1" applyFill="1" applyBorder="1" applyAlignment="1">
      <alignment horizontal="center"/>
    </xf>
    <xf numFmtId="2" fontId="7" fillId="0" borderId="36" xfId="1" applyNumberFormat="1" applyFont="1" applyBorder="1" applyAlignment="1">
      <alignment horizontal="center"/>
    </xf>
    <xf numFmtId="164" fontId="9" fillId="0" borderId="36" xfId="1" applyFont="1" applyBorder="1" applyAlignment="1">
      <alignment horizontal="center"/>
    </xf>
    <xf numFmtId="164" fontId="9" fillId="3" borderId="1" xfId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/>
    </xf>
    <xf numFmtId="2" fontId="9" fillId="3" borderId="1" xfId="1" applyNumberFormat="1" applyFont="1" applyFill="1" applyBorder="1" applyAlignment="1">
      <alignment horizontal="center" vertical="center" wrapText="1" shrinkToFit="1"/>
    </xf>
    <xf numFmtId="2" fontId="9" fillId="3" borderId="1" xfId="1" applyNumberFormat="1" applyFont="1" applyFill="1" applyBorder="1" applyAlignment="1">
      <alignment horizontal="center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2" fontId="7" fillId="3" borderId="17" xfId="0" applyNumberFormat="1" applyFont="1" applyFill="1" applyBorder="1" applyAlignment="1">
      <alignment horizontal="center" vertical="center"/>
    </xf>
    <xf numFmtId="2" fontId="9" fillId="3" borderId="1" xfId="0" applyNumberFormat="1" applyFont="1" applyFill="1" applyBorder="1" applyAlignment="1">
      <alignment horizontal="center" vertical="center" wrapText="1" shrinkToFit="1"/>
    </xf>
    <xf numFmtId="2" fontId="4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/>
    </xf>
    <xf numFmtId="2" fontId="9" fillId="0" borderId="30" xfId="0" applyNumberFormat="1" applyFont="1" applyFill="1" applyBorder="1" applyAlignment="1">
      <alignment horizontal="center"/>
    </xf>
    <xf numFmtId="2" fontId="7" fillId="0" borderId="31" xfId="0" applyNumberFormat="1" applyFont="1" applyFill="1" applyBorder="1" applyAlignment="1">
      <alignment horizontal="center"/>
    </xf>
    <xf numFmtId="2" fontId="9" fillId="0" borderId="31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2" fontId="9" fillId="0" borderId="32" xfId="0" applyNumberFormat="1" applyFont="1" applyFill="1" applyBorder="1" applyAlignment="1">
      <alignment horizontal="center"/>
    </xf>
    <xf numFmtId="0" fontId="9" fillId="3" borderId="37" xfId="0" applyFont="1" applyFill="1" applyBorder="1" applyAlignment="1">
      <alignment horizontal="center" vertical="center" wrapText="1"/>
    </xf>
    <xf numFmtId="0" fontId="7" fillId="0" borderId="30" xfId="0" applyFont="1" applyFill="1" applyBorder="1"/>
    <xf numFmtId="0" fontId="7" fillId="0" borderId="31" xfId="0" applyFont="1" applyFill="1" applyBorder="1"/>
    <xf numFmtId="0" fontId="9" fillId="0" borderId="0" xfId="0" applyFont="1" applyBorder="1"/>
    <xf numFmtId="2" fontId="9" fillId="3" borderId="38" xfId="0" applyNumberFormat="1" applyFont="1" applyFill="1" applyBorder="1" applyAlignment="1">
      <alignment horizontal="center" vertical="center" wrapText="1"/>
    </xf>
    <xf numFmtId="2" fontId="7" fillId="3" borderId="34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2" fontId="9" fillId="3" borderId="38" xfId="0" applyNumberFormat="1" applyFont="1" applyFill="1" applyBorder="1" applyAlignment="1">
      <alignment horizontal="center" vertical="center" wrapText="1" shrinkToFit="1"/>
    </xf>
    <xf numFmtId="2" fontId="7" fillId="3" borderId="1" xfId="0" applyNumberFormat="1" applyFont="1" applyFill="1" applyBorder="1" applyAlignment="1">
      <alignment horizontal="center" vertical="center"/>
    </xf>
    <xf numFmtId="2" fontId="9" fillId="2" borderId="6" xfId="0" applyNumberFormat="1" applyFont="1" applyFill="1" applyBorder="1" applyAlignment="1">
      <alignment horizontal="center" vertical="center" wrapText="1"/>
    </xf>
    <xf numFmtId="2" fontId="11" fillId="0" borderId="0" xfId="0" applyNumberFormat="1" applyFont="1" applyAlignment="1">
      <alignment horizontal="right" wrapText="1"/>
    </xf>
    <xf numFmtId="2" fontId="7" fillId="0" borderId="0" xfId="1" applyNumberFormat="1" applyFont="1" applyAlignment="1">
      <alignment vertical="center"/>
    </xf>
    <xf numFmtId="2" fontId="8" fillId="0" borderId="0" xfId="1" applyNumberFormat="1" applyFont="1" applyBorder="1" applyAlignment="1">
      <alignment vertical="center"/>
    </xf>
    <xf numFmtId="2" fontId="7" fillId="0" borderId="16" xfId="1" applyNumberFormat="1" applyFont="1" applyFill="1" applyBorder="1" applyAlignment="1">
      <alignment vertical="center"/>
    </xf>
    <xf numFmtId="2" fontId="10" fillId="0" borderId="16" xfId="1" applyNumberFormat="1" applyFont="1" applyFill="1" applyBorder="1" applyAlignment="1">
      <alignment vertical="center"/>
    </xf>
    <xf numFmtId="2" fontId="9" fillId="0" borderId="12" xfId="1" applyNumberFormat="1" applyFont="1" applyFill="1" applyBorder="1"/>
    <xf numFmtId="2" fontId="7" fillId="0" borderId="0" xfId="1" applyNumberFormat="1" applyFont="1"/>
    <xf numFmtId="2" fontId="7" fillId="0" borderId="0" xfId="1" applyNumberFormat="1" applyFont="1" applyBorder="1"/>
    <xf numFmtId="2" fontId="7" fillId="0" borderId="2" xfId="1" applyNumberFormat="1" applyFont="1" applyFill="1" applyBorder="1" applyAlignment="1">
      <alignment horizontal="right" wrapText="1"/>
    </xf>
    <xf numFmtId="2" fontId="7" fillId="0" borderId="3" xfId="1" applyNumberFormat="1" applyFont="1" applyFill="1" applyBorder="1" applyAlignment="1">
      <alignment horizontal="right" wrapText="1"/>
    </xf>
    <xf numFmtId="2" fontId="7" fillId="0" borderId="21" xfId="0" applyNumberFormat="1" applyFont="1" applyFill="1" applyBorder="1" applyAlignment="1">
      <alignment horizontal="right" wrapText="1"/>
    </xf>
    <xf numFmtId="2" fontId="7" fillId="0" borderId="0" xfId="0" applyNumberFormat="1" applyFont="1" applyAlignment="1">
      <alignment horizontal="right" wrapText="1"/>
    </xf>
    <xf numFmtId="2" fontId="7" fillId="0" borderId="0" xfId="1" applyNumberFormat="1" applyFont="1" applyBorder="1" applyAlignment="1">
      <alignment horizontal="right" wrapText="1"/>
    </xf>
    <xf numFmtId="2" fontId="7" fillId="0" borderId="22" xfId="1" applyNumberFormat="1" applyFont="1" applyBorder="1" applyAlignment="1">
      <alignment horizontal="right" wrapText="1"/>
    </xf>
    <xf numFmtId="2" fontId="9" fillId="0" borderId="8" xfId="1" applyNumberFormat="1" applyFont="1" applyBorder="1" applyAlignment="1">
      <alignment horizontal="right" wrapText="1"/>
    </xf>
    <xf numFmtId="2" fontId="9" fillId="0" borderId="23" xfId="1" applyNumberFormat="1" applyFont="1" applyBorder="1" applyAlignment="1">
      <alignment horizontal="right" wrapText="1"/>
    </xf>
    <xf numFmtId="2" fontId="9" fillId="0" borderId="0" xfId="0" applyNumberFormat="1" applyFont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2" fontId="7" fillId="0" borderId="0" xfId="0" applyNumberFormat="1" applyFont="1" applyAlignment="1">
      <alignment horizontal="center"/>
    </xf>
    <xf numFmtId="2" fontId="15" fillId="0" borderId="16" xfId="1" applyNumberFormat="1" applyFont="1" applyBorder="1" applyAlignment="1">
      <alignment horizontal="center" vertical="center"/>
    </xf>
    <xf numFmtId="2" fontId="15" fillId="0" borderId="7" xfId="1" applyNumberFormat="1" applyFont="1" applyBorder="1" applyAlignment="1">
      <alignment horizontal="center" vertical="center"/>
    </xf>
    <xf numFmtId="2" fontId="15" fillId="0" borderId="2" xfId="1" applyNumberFormat="1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7" fillId="0" borderId="0" xfId="0" applyFont="1" applyAlignment="1"/>
    <xf numFmtId="0" fontId="9" fillId="0" borderId="0" xfId="0" applyFont="1" applyAlignment="1">
      <alignment horizontal="center" wrapText="1"/>
    </xf>
    <xf numFmtId="0" fontId="26" fillId="0" borderId="6" xfId="0" applyFont="1" applyFill="1" applyBorder="1" applyAlignment="1">
      <alignment vertical="center"/>
    </xf>
    <xf numFmtId="0" fontId="26" fillId="0" borderId="2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30" fillId="0" borderId="0" xfId="0" applyFont="1" applyAlignment="1">
      <alignment horizontal="center" wrapText="1"/>
    </xf>
    <xf numFmtId="2" fontId="30" fillId="0" borderId="0" xfId="0" applyNumberFormat="1" applyFont="1"/>
    <xf numFmtId="0" fontId="30" fillId="0" borderId="0" xfId="0" applyFont="1"/>
    <xf numFmtId="0" fontId="30" fillId="0" borderId="0" xfId="0" applyFont="1" applyAlignment="1"/>
    <xf numFmtId="0" fontId="25" fillId="2" borderId="1" xfId="0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/>
    </xf>
    <xf numFmtId="0" fontId="31" fillId="0" borderId="21" xfId="0" applyFont="1" applyBorder="1" applyAlignment="1">
      <alignment vertical="center" wrapText="1"/>
    </xf>
    <xf numFmtId="8" fontId="31" fillId="0" borderId="21" xfId="0" applyNumberFormat="1" applyFont="1" applyBorder="1" applyAlignment="1">
      <alignment vertic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right" vertical="center"/>
    </xf>
    <xf numFmtId="8" fontId="32" fillId="2" borderId="6" xfId="2" applyNumberFormat="1" applyFont="1" applyFill="1" applyBorder="1" applyAlignment="1">
      <alignment vertical="center"/>
    </xf>
    <xf numFmtId="2" fontId="7" fillId="0" borderId="28" xfId="0" applyNumberFormat="1" applyFont="1" applyBorder="1" applyAlignment="1">
      <alignment horizontal="center" wrapText="1"/>
    </xf>
    <xf numFmtId="10" fontId="7" fillId="0" borderId="0" xfId="0" applyNumberFormat="1" applyFont="1" applyFill="1" applyBorder="1"/>
    <xf numFmtId="0" fontId="26" fillId="0" borderId="16" xfId="0" applyFont="1" applyBorder="1" applyAlignment="1">
      <alignment horizontal="center" vertical="center"/>
    </xf>
    <xf numFmtId="2" fontId="31" fillId="0" borderId="6" xfId="3" applyNumberFormat="1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34" fillId="0" borderId="6" xfId="0" applyFont="1" applyBorder="1" applyAlignment="1">
      <alignment horizontal="center" vertical="center"/>
    </xf>
    <xf numFmtId="2" fontId="15" fillId="0" borderId="16" xfId="1" applyNumberFormat="1" applyFont="1" applyFill="1" applyBorder="1" applyAlignment="1">
      <alignment horizontal="center" vertical="center"/>
    </xf>
    <xf numFmtId="0" fontId="9" fillId="3" borderId="43" xfId="0" applyFont="1" applyFill="1" applyBorder="1" applyAlignment="1">
      <alignment horizontal="center" vertical="center" wrapText="1"/>
    </xf>
    <xf numFmtId="2" fontId="9" fillId="3" borderId="44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/>
    </xf>
    <xf numFmtId="0" fontId="8" fillId="4" borderId="24" xfId="0" applyFont="1" applyFill="1" applyBorder="1" applyAlignment="1">
      <alignment vertical="center"/>
    </xf>
    <xf numFmtId="2" fontId="9" fillId="4" borderId="25" xfId="0" applyNumberFormat="1" applyFont="1" applyFill="1" applyBorder="1" applyAlignment="1">
      <alignment horizontal="center" wrapText="1"/>
    </xf>
    <xf numFmtId="2" fontId="9" fillId="4" borderId="26" xfId="0" applyNumberFormat="1" applyFont="1" applyFill="1" applyBorder="1" applyAlignment="1">
      <alignment horizontal="center" wrapText="1"/>
    </xf>
    <xf numFmtId="0" fontId="8" fillId="4" borderId="24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164" fontId="9" fillId="0" borderId="31" xfId="1" applyFont="1" applyBorder="1" applyAlignment="1">
      <alignment horizontal="center" vertical="center"/>
    </xf>
    <xf numFmtId="164" fontId="7" fillId="0" borderId="31" xfId="1" applyFont="1" applyBorder="1" applyAlignment="1">
      <alignment horizontal="center"/>
    </xf>
    <xf numFmtId="164" fontId="7" fillId="0" borderId="46" xfId="1" applyFont="1" applyBorder="1" applyAlignment="1">
      <alignment horizontal="center"/>
    </xf>
    <xf numFmtId="164" fontId="7" fillId="0" borderId="48" xfId="1" applyFont="1" applyBorder="1" applyAlignment="1">
      <alignment horizontal="center"/>
    </xf>
    <xf numFmtId="44" fontId="7" fillId="0" borderId="0" xfId="0" applyNumberFormat="1" applyFont="1"/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8" fontId="32" fillId="2" borderId="6" xfId="2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/>
    </xf>
    <xf numFmtId="2" fontId="31" fillId="2" borderId="6" xfId="2" applyNumberFormat="1" applyFont="1" applyFill="1" applyBorder="1" applyAlignment="1">
      <alignment horizontal="center" vertical="center"/>
    </xf>
    <xf numFmtId="44" fontId="4" fillId="0" borderId="0" xfId="2" applyFont="1"/>
    <xf numFmtId="0" fontId="28" fillId="0" borderId="0" xfId="0" applyFont="1" applyFill="1" applyBorder="1" applyAlignment="1">
      <alignment horizontal="left" vertical="center" wrapText="1"/>
    </xf>
    <xf numFmtId="0" fontId="16" fillId="0" borderId="41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wrapText="1"/>
    </xf>
    <xf numFmtId="0" fontId="7" fillId="0" borderId="4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wrapText="1"/>
    </xf>
    <xf numFmtId="2" fontId="16" fillId="0" borderId="0" xfId="0" applyNumberFormat="1" applyFont="1" applyFill="1" applyBorder="1" applyAlignment="1">
      <alignment horizontal="center" vertical="center" wrapText="1"/>
    </xf>
    <xf numFmtId="164" fontId="7" fillId="0" borderId="0" xfId="1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center" vertical="center" wrapText="1"/>
    </xf>
    <xf numFmtId="1" fontId="32" fillId="0" borderId="0" xfId="2" applyNumberFormat="1" applyFont="1" applyFill="1" applyBorder="1" applyAlignment="1">
      <alignment horizontal="center" vertical="center"/>
    </xf>
    <xf numFmtId="0" fontId="13" fillId="0" borderId="49" xfId="0" applyFont="1" applyBorder="1" applyAlignment="1">
      <alignment vertical="center"/>
    </xf>
    <xf numFmtId="164" fontId="7" fillId="0" borderId="50" xfId="1" applyFont="1" applyBorder="1" applyAlignment="1">
      <alignment horizontal="center"/>
    </xf>
    <xf numFmtId="164" fontId="7" fillId="0" borderId="51" xfId="1" applyFont="1" applyBorder="1" applyAlignment="1">
      <alignment horizontal="center"/>
    </xf>
    <xf numFmtId="164" fontId="9" fillId="0" borderId="53" xfId="1" applyFont="1" applyBorder="1" applyAlignment="1">
      <alignment horizontal="center" vertical="center"/>
    </xf>
    <xf numFmtId="164" fontId="9" fillId="0" borderId="52" xfId="1" applyFont="1" applyBorder="1" applyAlignment="1">
      <alignment horizontal="center" vertical="center"/>
    </xf>
    <xf numFmtId="164" fontId="7" fillId="0" borderId="53" xfId="1" applyFont="1" applyBorder="1" applyAlignment="1">
      <alignment horizontal="center"/>
    </xf>
    <xf numFmtId="164" fontId="7" fillId="0" borderId="54" xfId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 vertical="center"/>
    </xf>
    <xf numFmtId="4" fontId="32" fillId="0" borderId="0" xfId="1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8" fontId="32" fillId="2" borderId="4" xfId="2" applyNumberFormat="1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wrapText="1" shrinkToFit="1"/>
    </xf>
    <xf numFmtId="2" fontId="9" fillId="0" borderId="3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Alignment="1">
      <alignment vertical="center"/>
    </xf>
    <xf numFmtId="0" fontId="9" fillId="0" borderId="4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2" fontId="7" fillId="0" borderId="32" xfId="0" applyNumberFormat="1" applyFont="1" applyBorder="1" applyAlignment="1">
      <alignment horizontal="center"/>
    </xf>
    <xf numFmtId="2" fontId="9" fillId="0" borderId="32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 wrapText="1"/>
    </xf>
    <xf numFmtId="2" fontId="7" fillId="0" borderId="0" xfId="1" applyNumberFormat="1" applyFont="1" applyBorder="1" applyAlignment="1">
      <alignment horizontal="center" vertical="center"/>
    </xf>
    <xf numFmtId="164" fontId="9" fillId="0" borderId="4" xfId="1" applyFont="1" applyFill="1" applyBorder="1" applyAlignment="1">
      <alignment horizontal="center" vertical="center" wrapText="1"/>
    </xf>
    <xf numFmtId="164" fontId="9" fillId="0" borderId="5" xfId="1" applyFont="1" applyFill="1" applyBorder="1" applyAlignment="1">
      <alignment horizontal="center" vertical="center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 wrapText="1"/>
    </xf>
    <xf numFmtId="2" fontId="9" fillId="0" borderId="5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44" fontId="32" fillId="2" borderId="6" xfId="2" applyFont="1" applyFill="1" applyBorder="1" applyAlignment="1">
      <alignment vertical="center"/>
    </xf>
    <xf numFmtId="2" fontId="9" fillId="0" borderId="31" xfId="0" applyNumberFormat="1" applyFont="1" applyFill="1" applyBorder="1" applyAlignment="1">
      <alignment horizontal="left"/>
    </xf>
    <xf numFmtId="0" fontId="2" fillId="0" borderId="0" xfId="0" applyFont="1" applyAlignment="1">
      <alignment horizontal="left"/>
    </xf>
    <xf numFmtId="2" fontId="7" fillId="0" borderId="2" xfId="1" applyNumberFormat="1" applyFont="1" applyBorder="1" applyAlignment="1">
      <alignment horizontal="center" vertical="center"/>
    </xf>
    <xf numFmtId="4" fontId="37" fillId="0" borderId="1" xfId="0" applyNumberFormat="1" applyFont="1" applyBorder="1" applyAlignment="1">
      <alignment horizontal="right"/>
    </xf>
    <xf numFmtId="4" fontId="38" fillId="0" borderId="1" xfId="0" applyNumberFormat="1" applyFont="1" applyBorder="1" applyAlignment="1">
      <alignment horizontal="right"/>
    </xf>
    <xf numFmtId="4" fontId="39" fillId="0" borderId="1" xfId="0" applyNumberFormat="1" applyFont="1" applyBorder="1" applyAlignment="1">
      <alignment horizontal="right"/>
    </xf>
    <xf numFmtId="2" fontId="7" fillId="3" borderId="17" xfId="0" applyNumberFormat="1" applyFont="1" applyFill="1" applyBorder="1" applyAlignment="1">
      <alignment horizontal="center" vertical="center" wrapText="1"/>
    </xf>
    <xf numFmtId="0" fontId="27" fillId="2" borderId="4" xfId="0" applyFont="1" applyFill="1" applyBorder="1" applyAlignment="1">
      <alignment horizontal="right" vertical="center" wrapText="1"/>
    </xf>
    <xf numFmtId="0" fontId="27" fillId="2" borderId="14" xfId="0" applyFont="1" applyFill="1" applyBorder="1" applyAlignment="1">
      <alignment horizontal="right" vertical="center" wrapText="1"/>
    </xf>
    <xf numFmtId="0" fontId="27" fillId="2" borderId="5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33" fillId="0" borderId="0" xfId="4" applyBorder="1" applyAlignment="1">
      <alignment horizontal="center" vertical="center" wrapText="1"/>
    </xf>
    <xf numFmtId="2" fontId="35" fillId="0" borderId="2" xfId="0" applyNumberFormat="1" applyFont="1" applyBorder="1" applyAlignment="1">
      <alignment horizontal="center" vertical="center" wrapText="1"/>
    </xf>
    <xf numFmtId="2" fontId="35" fillId="0" borderId="3" xfId="0" applyNumberFormat="1" applyFont="1" applyBorder="1" applyAlignment="1">
      <alignment horizontal="center" vertical="center" wrapText="1"/>
    </xf>
    <xf numFmtId="2" fontId="31" fillId="0" borderId="7" xfId="0" applyNumberFormat="1" applyFont="1" applyBorder="1" applyAlignment="1">
      <alignment horizontal="center" vertical="center"/>
    </xf>
    <xf numFmtId="2" fontId="31" fillId="0" borderId="3" xfId="0" applyNumberFormat="1" applyFont="1" applyBorder="1" applyAlignment="1">
      <alignment horizontal="center" vertical="center"/>
    </xf>
    <xf numFmtId="2" fontId="31" fillId="0" borderId="7" xfId="3" applyNumberFormat="1" applyFont="1" applyBorder="1" applyAlignment="1">
      <alignment horizontal="center" vertical="center"/>
    </xf>
    <xf numFmtId="2" fontId="31" fillId="0" borderId="3" xfId="3" applyNumberFormat="1" applyFont="1" applyBorder="1" applyAlignment="1">
      <alignment horizontal="center" vertical="center"/>
    </xf>
    <xf numFmtId="8" fontId="31" fillId="0" borderId="7" xfId="0" applyNumberFormat="1" applyFont="1" applyBorder="1" applyAlignment="1">
      <alignment horizontal="right" vertical="center"/>
    </xf>
    <xf numFmtId="8" fontId="31" fillId="0" borderId="3" xfId="0" applyNumberFormat="1" applyFont="1" applyBorder="1" applyAlignment="1">
      <alignment horizontal="right" vertical="center"/>
    </xf>
    <xf numFmtId="0" fontId="28" fillId="0" borderId="0" xfId="0" applyFont="1" applyFill="1" applyBorder="1" applyAlignment="1">
      <alignment horizontal="left" vertical="center" wrapText="1"/>
    </xf>
    <xf numFmtId="0" fontId="28" fillId="0" borderId="16" xfId="0" applyFont="1" applyFill="1" applyBorder="1" applyAlignment="1">
      <alignment horizontal="left" vertical="center" wrapText="1"/>
    </xf>
    <xf numFmtId="1" fontId="32" fillId="2" borderId="11" xfId="2" applyNumberFormat="1" applyFont="1" applyFill="1" applyBorder="1" applyAlignment="1">
      <alignment horizontal="center" vertical="center"/>
    </xf>
    <xf numFmtId="1" fontId="32" fillId="2" borderId="12" xfId="2" applyNumberFormat="1" applyFont="1" applyFill="1" applyBorder="1" applyAlignment="1">
      <alignment horizontal="center" vertical="center"/>
    </xf>
    <xf numFmtId="44" fontId="32" fillId="2" borderId="11" xfId="2" applyFont="1" applyFill="1" applyBorder="1" applyAlignment="1">
      <alignment horizontal="center" vertical="center"/>
    </xf>
    <xf numFmtId="44" fontId="32" fillId="2" borderId="12" xfId="2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 wrapText="1"/>
    </xf>
    <xf numFmtId="0" fontId="25" fillId="2" borderId="2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>
      <alignment horizontal="center" vertical="center" wrapText="1"/>
    </xf>
    <xf numFmtId="0" fontId="25" fillId="2" borderId="15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8" fontId="31" fillId="0" borderId="7" xfId="0" applyNumberFormat="1" applyFont="1" applyBorder="1" applyAlignment="1">
      <alignment horizontal="center" vertical="center"/>
    </xf>
    <xf numFmtId="8" fontId="31" fillId="0" borderId="3" xfId="0" applyNumberFormat="1" applyFont="1" applyBorder="1" applyAlignment="1">
      <alignment horizontal="center" vertical="center"/>
    </xf>
    <xf numFmtId="2" fontId="31" fillId="0" borderId="39" xfId="3" applyNumberFormat="1" applyFont="1" applyBorder="1" applyAlignment="1">
      <alignment horizontal="center" vertical="center"/>
    </xf>
    <xf numFmtId="2" fontId="31" fillId="0" borderId="40" xfId="3" applyNumberFormat="1" applyFont="1" applyBorder="1" applyAlignment="1">
      <alignment horizontal="center" vertical="center"/>
    </xf>
    <xf numFmtId="0" fontId="31" fillId="0" borderId="3" xfId="0" applyFont="1" applyBorder="1" applyAlignment="1">
      <alignment horizontal="right" vertical="center"/>
    </xf>
    <xf numFmtId="0" fontId="31" fillId="0" borderId="7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8" fontId="31" fillId="0" borderId="11" xfId="0" applyNumberFormat="1" applyFont="1" applyBorder="1" applyAlignment="1">
      <alignment horizontal="right" vertical="center"/>
    </xf>
    <xf numFmtId="0" fontId="31" fillId="0" borderId="12" xfId="0" applyFont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wrapText="1"/>
    </xf>
    <xf numFmtId="0" fontId="18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center" vertical="center" wrapText="1"/>
    </xf>
    <xf numFmtId="4" fontId="25" fillId="0" borderId="27" xfId="0" applyNumberFormat="1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4" fontId="25" fillId="0" borderId="38" xfId="0" applyNumberFormat="1" applyFont="1" applyFill="1" applyBorder="1" applyAlignment="1">
      <alignment horizontal="center" vertical="center"/>
    </xf>
    <xf numFmtId="4" fontId="25" fillId="0" borderId="27" xfId="0" applyNumberFormat="1" applyFont="1" applyFill="1" applyBorder="1" applyAlignment="1">
      <alignment horizontal="center" vertical="center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31" fillId="0" borderId="39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justify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164" fontId="17" fillId="0" borderId="34" xfId="1" applyFont="1" applyFill="1" applyBorder="1" applyAlignment="1">
      <alignment horizontal="center" vertical="center" wrapText="1"/>
    </xf>
    <xf numFmtId="164" fontId="17" fillId="0" borderId="35" xfId="1" applyFont="1" applyFill="1" applyBorder="1" applyAlignment="1">
      <alignment horizontal="center" vertical="center" wrapText="1"/>
    </xf>
    <xf numFmtId="2" fontId="17" fillId="0" borderId="34" xfId="1" applyNumberFormat="1" applyFont="1" applyFill="1" applyBorder="1" applyAlignment="1">
      <alignment horizontal="center" vertical="center" wrapText="1"/>
    </xf>
    <xf numFmtId="2" fontId="17" fillId="0" borderId="35" xfId="1" applyNumberFormat="1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8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31" fillId="0" borderId="7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3" fillId="0" borderId="0" xfId="4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8" fontId="31" fillId="0" borderId="10" xfId="0" applyNumberFormat="1" applyFont="1" applyBorder="1" applyAlignment="1">
      <alignment horizontal="center" vertical="center"/>
    </xf>
    <xf numFmtId="8" fontId="31" fillId="0" borderId="18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2" fontId="17" fillId="0" borderId="17" xfId="0" applyNumberFormat="1" applyFont="1" applyFill="1" applyBorder="1" applyAlignment="1">
      <alignment horizontal="center" vertical="center" wrapText="1"/>
    </xf>
    <xf numFmtId="2" fontId="17" fillId="0" borderId="29" xfId="0" applyNumberFormat="1" applyFont="1" applyFill="1" applyBorder="1" applyAlignment="1">
      <alignment horizontal="center" vertical="center" wrapText="1"/>
    </xf>
    <xf numFmtId="165" fontId="32" fillId="2" borderId="11" xfId="2" applyNumberFormat="1" applyFont="1" applyFill="1" applyBorder="1" applyAlignment="1">
      <alignment horizontal="center" vertical="center"/>
    </xf>
    <xf numFmtId="165" fontId="32" fillId="2" borderId="12" xfId="2" applyNumberFormat="1" applyFont="1" applyFill="1" applyBorder="1" applyAlignment="1">
      <alignment horizontal="center" vertical="center"/>
    </xf>
    <xf numFmtId="1" fontId="32" fillId="2" borderId="7" xfId="2" applyNumberFormat="1" applyFont="1" applyFill="1" applyBorder="1" applyAlignment="1">
      <alignment horizontal="center" vertical="center"/>
    </xf>
    <xf numFmtId="1" fontId="32" fillId="2" borderId="3" xfId="2" applyNumberFormat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29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27" xfId="0" applyFont="1" applyBorder="1" applyAlignment="1">
      <alignment horizontal="center" vertical="center" wrapText="1"/>
    </xf>
    <xf numFmtId="2" fontId="35" fillId="0" borderId="7" xfId="0" applyNumberFormat="1" applyFont="1" applyBorder="1" applyAlignment="1">
      <alignment horizontal="center" vertical="center" wrapText="1"/>
    </xf>
    <xf numFmtId="0" fontId="22" fillId="4" borderId="4" xfId="0" applyFont="1" applyFill="1" applyBorder="1" applyAlignment="1">
      <alignment horizontal="justify" vertical="center" wrapText="1"/>
    </xf>
    <xf numFmtId="0" fontId="22" fillId="4" borderId="14" xfId="0" applyFont="1" applyFill="1" applyBorder="1" applyAlignment="1">
      <alignment horizontal="justify" vertical="center" wrapText="1"/>
    </xf>
    <xf numFmtId="0" fontId="22" fillId="4" borderId="5" xfId="0" applyFont="1" applyFill="1" applyBorder="1" applyAlignment="1">
      <alignment horizontal="justify" vertical="center" wrapText="1"/>
    </xf>
    <xf numFmtId="0" fontId="20" fillId="0" borderId="2" xfId="0" applyFont="1" applyBorder="1" applyAlignment="1">
      <alignment horizontal="justify" vertical="center" wrapText="1"/>
    </xf>
    <xf numFmtId="0" fontId="20" fillId="0" borderId="3" xfId="0" applyFont="1" applyBorder="1" applyAlignment="1">
      <alignment horizontal="justify" vertical="center" wrapText="1"/>
    </xf>
    <xf numFmtId="2" fontId="15" fillId="0" borderId="7" xfId="0" applyNumberFormat="1" applyFont="1" applyBorder="1" applyAlignment="1">
      <alignment horizontal="right" vertical="center" wrapText="1"/>
    </xf>
    <xf numFmtId="2" fontId="7" fillId="0" borderId="2" xfId="0" applyNumberFormat="1" applyFont="1" applyBorder="1" applyAlignment="1">
      <alignment horizontal="right" vertical="center" wrapText="1"/>
    </xf>
    <xf numFmtId="2" fontId="15" fillId="0" borderId="2" xfId="0" applyNumberFormat="1" applyFont="1" applyBorder="1" applyAlignment="1">
      <alignment horizontal="right" vertical="center" wrapText="1"/>
    </xf>
    <xf numFmtId="2" fontId="15" fillId="0" borderId="3" xfId="0" applyNumberFormat="1" applyFont="1" applyBorder="1" applyAlignment="1">
      <alignment horizontal="right" vertical="center" wrapText="1"/>
    </xf>
    <xf numFmtId="2" fontId="21" fillId="0" borderId="16" xfId="0" applyNumberFormat="1" applyFont="1" applyBorder="1" applyAlignment="1">
      <alignment horizontal="right" wrapText="1"/>
    </xf>
    <xf numFmtId="2" fontId="21" fillId="0" borderId="12" xfId="0" applyNumberFormat="1" applyFont="1" applyBorder="1" applyAlignment="1">
      <alignment horizontal="right" wrapText="1"/>
    </xf>
    <xf numFmtId="2" fontId="15" fillId="0" borderId="13" xfId="0" applyNumberFormat="1" applyFont="1" applyBorder="1" applyAlignment="1">
      <alignment horizontal="right" vertical="center" wrapText="1"/>
    </xf>
    <xf numFmtId="2" fontId="15" fillId="0" borderId="16" xfId="0" applyNumberFormat="1" applyFont="1" applyBorder="1" applyAlignment="1">
      <alignment horizontal="right" vertical="center" wrapText="1"/>
    </xf>
    <xf numFmtId="0" fontId="15" fillId="0" borderId="0" xfId="0" applyFont="1" applyAlignment="1">
      <alignment horizontal="justify" vertical="center" wrapText="1"/>
    </xf>
    <xf numFmtId="0" fontId="15" fillId="0" borderId="15" xfId="0" applyFont="1" applyBorder="1" applyAlignment="1">
      <alignment horizontal="justify" vertical="center" wrapText="1"/>
    </xf>
    <xf numFmtId="0" fontId="8" fillId="4" borderId="4" xfId="0" applyFont="1" applyFill="1" applyBorder="1" applyAlignment="1">
      <alignment horizontal="justify" vertical="center" wrapText="1"/>
    </xf>
    <xf numFmtId="0" fontId="8" fillId="4" borderId="14" xfId="0" applyFont="1" applyFill="1" applyBorder="1" applyAlignment="1">
      <alignment horizontal="justify" vertical="center" wrapText="1"/>
    </xf>
    <xf numFmtId="0" fontId="8" fillId="4" borderId="21" xfId="0" applyFont="1" applyFill="1" applyBorder="1" applyAlignment="1">
      <alignment horizontal="justify" vertical="center" wrapText="1"/>
    </xf>
    <xf numFmtId="0" fontId="8" fillId="4" borderId="5" xfId="0" applyFont="1" applyFill="1" applyBorder="1" applyAlignment="1">
      <alignment horizontal="justify" vertical="center" wrapText="1"/>
    </xf>
    <xf numFmtId="0" fontId="12" fillId="0" borderId="2" xfId="0" applyFont="1" applyBorder="1" applyAlignment="1">
      <alignment horizontal="justify" vertical="center" wrapText="1"/>
    </xf>
    <xf numFmtId="0" fontId="12" fillId="0" borderId="3" xfId="0" applyFont="1" applyBorder="1" applyAlignment="1">
      <alignment horizontal="justify" vertical="center" wrapText="1"/>
    </xf>
    <xf numFmtId="0" fontId="8" fillId="4" borderId="4" xfId="0" applyFont="1" applyFill="1" applyBorder="1" applyAlignment="1">
      <alignment vertical="center"/>
    </xf>
    <xf numFmtId="0" fontId="8" fillId="4" borderId="5" xfId="0" applyFont="1" applyFill="1" applyBorder="1" applyAlignment="1">
      <alignment vertical="center"/>
    </xf>
    <xf numFmtId="2" fontId="7" fillId="0" borderId="16" xfId="0" applyNumberFormat="1" applyFont="1" applyBorder="1" applyAlignment="1">
      <alignment horizontal="right" wrapText="1"/>
    </xf>
    <xf numFmtId="2" fontId="7" fillId="0" borderId="12" xfId="0" applyNumberFormat="1" applyFont="1" applyBorder="1" applyAlignment="1">
      <alignment horizontal="right" wrapText="1"/>
    </xf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Porcentaje" xfId="3" builtinId="5"/>
  </cellStyles>
  <dxfs count="0"/>
  <tableStyles count="0" defaultTableStyle="TableStyleMedium9" defaultPivotStyle="PivotStyleLight16"/>
  <colors>
    <mruColors>
      <color rgb="FFC0C0C0"/>
      <color rgb="FF0033CC"/>
      <color rgb="FF0000CC"/>
      <color rgb="FF0000FF"/>
      <color rgb="FF3399FF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serviciopas.umh.es/files/2019/04/CALCULO-RC-nuevo.xls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serviciopas.umh.es/files/2023/01/CALCULO-RC-contrato-e-indemnizacion.xlsx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7"/>
  <sheetViews>
    <sheetView topLeftCell="B1" zoomScale="81" zoomScaleNormal="81" workbookViewId="0">
      <selection activeCell="B42" sqref="A42:XFD47"/>
    </sheetView>
  </sheetViews>
  <sheetFormatPr baseColWidth="10" defaultColWidth="11.54296875" defaultRowHeight="13.5" x14ac:dyDescent="0.3"/>
  <cols>
    <col min="1" max="1" width="15" style="33" customWidth="1"/>
    <col min="2" max="2" width="21.1796875" style="33" customWidth="1"/>
    <col min="3" max="3" width="8.984375E-2" style="33" customWidth="1"/>
    <col min="4" max="4" width="14.453125" style="113" customWidth="1"/>
    <col min="5" max="5" width="18.1796875" style="8" customWidth="1"/>
    <col min="6" max="6" width="24.81640625" style="8" customWidth="1"/>
    <col min="7" max="7" width="18.453125" style="8" customWidth="1"/>
    <col min="8" max="8" width="11.54296875" style="8"/>
    <col min="9" max="9" width="19.81640625" style="35" customWidth="1"/>
    <col min="10" max="10" width="19.453125" style="19" customWidth="1"/>
    <col min="11" max="11" width="18.81640625" style="8" customWidth="1"/>
    <col min="12" max="12" width="17.81640625" style="112" customWidth="1"/>
    <col min="13" max="13" width="15.36328125" style="8" customWidth="1"/>
    <col min="14" max="16384" width="11.54296875" style="8"/>
  </cols>
  <sheetData>
    <row r="1" spans="1:13" ht="51.75" customHeight="1" x14ac:dyDescent="0.3">
      <c r="A1" s="250" t="s">
        <v>106</v>
      </c>
      <c r="B1" s="251"/>
      <c r="C1" s="251"/>
      <c r="D1" s="251"/>
      <c r="E1" s="251"/>
      <c r="F1" s="251"/>
      <c r="G1" s="251"/>
    </row>
    <row r="2" spans="1:13" s="36" customFormat="1" ht="28.5" customHeight="1" x14ac:dyDescent="0.25">
      <c r="A2" s="44"/>
      <c r="B2" s="256" t="s">
        <v>45</v>
      </c>
      <c r="C2" s="256"/>
      <c r="D2" s="256"/>
      <c r="E2" s="42"/>
      <c r="F2" s="256" t="s">
        <v>46</v>
      </c>
      <c r="G2" s="257"/>
      <c r="I2" s="252" t="s">
        <v>48</v>
      </c>
      <c r="J2" s="252"/>
      <c r="K2" s="252"/>
      <c r="L2" s="252" t="s">
        <v>52</v>
      </c>
      <c r="M2" s="252"/>
    </row>
    <row r="3" spans="1:13" s="27" customFormat="1" ht="48.5" customHeight="1" x14ac:dyDescent="0.3">
      <c r="A3" s="43" t="s">
        <v>43</v>
      </c>
      <c r="B3" s="40" t="s">
        <v>44</v>
      </c>
      <c r="C3" s="40" t="s">
        <v>49</v>
      </c>
      <c r="D3" s="185" t="s">
        <v>111</v>
      </c>
      <c r="E3" s="40" t="s">
        <v>43</v>
      </c>
      <c r="F3" s="40" t="s">
        <v>44</v>
      </c>
      <c r="G3" s="41" t="s">
        <v>112</v>
      </c>
      <c r="I3" s="121" t="s">
        <v>47</v>
      </c>
      <c r="J3" s="121" t="s">
        <v>58</v>
      </c>
      <c r="K3" s="121" t="s">
        <v>59</v>
      </c>
      <c r="L3" s="122" t="s">
        <v>50</v>
      </c>
      <c r="M3" s="121" t="s">
        <v>51</v>
      </c>
    </row>
    <row r="4" spans="1:13" ht="16.5" customHeight="1" x14ac:dyDescent="0.3">
      <c r="A4" s="37">
        <v>37.5</v>
      </c>
      <c r="B4" s="45">
        <f>PARAMETROS!B2</f>
        <v>2770.1867375000002</v>
      </c>
      <c r="C4" s="45"/>
      <c r="D4" s="128"/>
      <c r="E4" s="37">
        <v>37.5</v>
      </c>
      <c r="F4" s="45">
        <f>PARAMETROS!C2</f>
        <v>3601.2424875000006</v>
      </c>
      <c r="G4" s="45">
        <f>IF(F4&gt;=$K$4,$K$4*$K$18%,F4*$K$18%)</f>
        <v>1151.6773475025002</v>
      </c>
      <c r="I4" s="253">
        <v>1</v>
      </c>
      <c r="J4" s="254">
        <v>1847.4</v>
      </c>
      <c r="K4" s="254">
        <v>4720.5</v>
      </c>
      <c r="L4" s="258">
        <v>1323</v>
      </c>
      <c r="M4" s="258">
        <v>4720.5</v>
      </c>
    </row>
    <row r="5" spans="1:13" ht="16.5" customHeight="1" x14ac:dyDescent="0.3">
      <c r="A5" s="38">
        <v>36</v>
      </c>
      <c r="B5" s="46">
        <f>(PRODUCT(B$4,A5)/A$4)</f>
        <v>2659.3792680000001</v>
      </c>
      <c r="C5" s="186">
        <f>((A5/$A$4*7.5*5)/7)*30*$D$43</f>
        <v>1717.2000000000003</v>
      </c>
      <c r="D5" s="128">
        <f t="shared" ref="D5:D40" si="0">IF(B5&lt;C5,C5*$K$18%,B5*$K$18%)</f>
        <v>850.4694899064001</v>
      </c>
      <c r="E5" s="38">
        <v>36</v>
      </c>
      <c r="F5" s="46">
        <f t="shared" ref="F5:F40" si="1">PRODUCT(F$4,E5)/E$4</f>
        <v>3457.1927880000003</v>
      </c>
      <c r="G5" s="46">
        <f t="shared" ref="G5:G40" si="2">IF(F5&gt;=$K$4,$K$4*$K$18%,F5*$K$18%)</f>
        <v>1105.6102536024002</v>
      </c>
      <c r="I5" s="253"/>
      <c r="J5" s="255"/>
      <c r="K5" s="255"/>
      <c r="L5" s="259"/>
      <c r="M5" s="259"/>
    </row>
    <row r="6" spans="1:13" ht="16.5" customHeight="1" x14ac:dyDescent="0.3">
      <c r="A6" s="38">
        <v>35</v>
      </c>
      <c r="B6" s="46">
        <f t="shared" ref="B6:B40" si="3">(PRODUCT(B$4,A6)/A$4)</f>
        <v>2585.5076216666666</v>
      </c>
      <c r="C6" s="186">
        <f t="shared" ref="C6:C40" si="4">((A6/A$4*7.5*5)/7)*30*$D$43</f>
        <v>1669.5000000000002</v>
      </c>
      <c r="D6" s="128">
        <f t="shared" si="0"/>
        <v>826.84533740900008</v>
      </c>
      <c r="E6" s="38">
        <v>35</v>
      </c>
      <c r="F6" s="46">
        <f t="shared" si="1"/>
        <v>3361.1596550000004</v>
      </c>
      <c r="G6" s="46">
        <f t="shared" si="2"/>
        <v>1074.8988576690001</v>
      </c>
      <c r="J6" s="8"/>
    </row>
    <row r="7" spans="1:13" ht="16.5" customHeight="1" thickBot="1" x14ac:dyDescent="0.35">
      <c r="A7" s="38">
        <v>34</v>
      </c>
      <c r="B7" s="46">
        <f t="shared" si="3"/>
        <v>2511.6359753333336</v>
      </c>
      <c r="C7" s="186">
        <f t="shared" si="4"/>
        <v>1621.8</v>
      </c>
      <c r="D7" s="128">
        <f t="shared" si="0"/>
        <v>803.22118491160018</v>
      </c>
      <c r="E7" s="38">
        <v>34</v>
      </c>
      <c r="F7" s="46">
        <f t="shared" si="1"/>
        <v>3265.1265220000005</v>
      </c>
      <c r="G7" s="46">
        <f t="shared" si="2"/>
        <v>1044.1874617356002</v>
      </c>
    </row>
    <row r="8" spans="1:13" ht="16.5" customHeight="1" x14ac:dyDescent="0.3">
      <c r="A8" s="38">
        <v>33</v>
      </c>
      <c r="B8" s="46">
        <f t="shared" si="3"/>
        <v>2437.7643290000001</v>
      </c>
      <c r="C8" s="186">
        <f t="shared" si="4"/>
        <v>1574.1000000000004</v>
      </c>
      <c r="D8" s="128">
        <f t="shared" si="0"/>
        <v>779.59703241420004</v>
      </c>
      <c r="E8" s="38">
        <v>33</v>
      </c>
      <c r="F8" s="46">
        <f t="shared" si="1"/>
        <v>3169.0933890000006</v>
      </c>
      <c r="G8" s="46">
        <f t="shared" si="2"/>
        <v>1013.4760658022003</v>
      </c>
      <c r="I8" s="228" t="s">
        <v>88</v>
      </c>
      <c r="J8" s="228"/>
      <c r="K8" s="229"/>
      <c r="L8" s="232">
        <v>0</v>
      </c>
    </row>
    <row r="9" spans="1:13" ht="16.5" customHeight="1" thickBot="1" x14ac:dyDescent="0.35">
      <c r="A9" s="38">
        <v>32</v>
      </c>
      <c r="B9" s="46">
        <f t="shared" si="3"/>
        <v>2363.8926826666666</v>
      </c>
      <c r="C9" s="186">
        <f t="shared" si="4"/>
        <v>1526.4</v>
      </c>
      <c r="D9" s="128">
        <f t="shared" si="0"/>
        <v>755.97287991680003</v>
      </c>
      <c r="E9" s="38">
        <v>32</v>
      </c>
      <c r="F9" s="46">
        <f t="shared" si="1"/>
        <v>3073.0602560000007</v>
      </c>
      <c r="G9" s="46">
        <f t="shared" si="2"/>
        <v>982.7646698688003</v>
      </c>
      <c r="I9" s="228"/>
      <c r="J9" s="228"/>
      <c r="K9" s="229"/>
      <c r="L9" s="233"/>
    </row>
    <row r="10" spans="1:13" ht="16.5" customHeight="1" thickBot="1" x14ac:dyDescent="0.35">
      <c r="A10" s="38">
        <v>31</v>
      </c>
      <c r="B10" s="46">
        <f t="shared" si="3"/>
        <v>2290.0210363333335</v>
      </c>
      <c r="C10" s="186">
        <f t="shared" si="4"/>
        <v>1478.7</v>
      </c>
      <c r="D10" s="128">
        <f t="shared" si="0"/>
        <v>732.34872741940012</v>
      </c>
      <c r="E10" s="38">
        <v>31</v>
      </c>
      <c r="F10" s="46">
        <f t="shared" si="1"/>
        <v>2977.0271230000003</v>
      </c>
      <c r="G10" s="46">
        <f t="shared" si="2"/>
        <v>952.05327393540017</v>
      </c>
      <c r="I10" s="117"/>
      <c r="J10" s="118"/>
      <c r="K10" s="119"/>
      <c r="L10" s="120"/>
    </row>
    <row r="11" spans="1:13" ht="16.5" customHeight="1" x14ac:dyDescent="0.3">
      <c r="A11" s="38">
        <v>30</v>
      </c>
      <c r="B11" s="46">
        <f t="shared" si="3"/>
        <v>2216.14939</v>
      </c>
      <c r="C11" s="186">
        <f t="shared" si="4"/>
        <v>1431</v>
      </c>
      <c r="D11" s="128">
        <f t="shared" si="0"/>
        <v>708.7245749220001</v>
      </c>
      <c r="E11" s="38">
        <v>30</v>
      </c>
      <c r="F11" s="46">
        <f t="shared" si="1"/>
        <v>2880.9939900000004</v>
      </c>
      <c r="G11" s="46">
        <f t="shared" si="2"/>
        <v>921.34187800200016</v>
      </c>
      <c r="I11" s="234" t="s">
        <v>60</v>
      </c>
      <c r="J11" s="235"/>
      <c r="K11" s="235"/>
      <c r="L11" s="236"/>
    </row>
    <row r="12" spans="1:13" ht="16.5" customHeight="1" thickBot="1" x14ac:dyDescent="0.35">
      <c r="A12" s="38">
        <v>29</v>
      </c>
      <c r="B12" s="46">
        <f t="shared" si="3"/>
        <v>2142.277743666667</v>
      </c>
      <c r="C12" s="186">
        <f t="shared" si="4"/>
        <v>1383.3000000000002</v>
      </c>
      <c r="D12" s="128">
        <f t="shared" si="0"/>
        <v>685.1004224246002</v>
      </c>
      <c r="E12" s="38">
        <v>29</v>
      </c>
      <c r="F12" s="46">
        <f t="shared" si="1"/>
        <v>2784.9608570000005</v>
      </c>
      <c r="G12" s="46">
        <f t="shared" si="2"/>
        <v>890.63048206860026</v>
      </c>
      <c r="I12" s="237"/>
      <c r="J12" s="238"/>
      <c r="K12" s="238"/>
      <c r="L12" s="239"/>
    </row>
    <row r="13" spans="1:13" ht="16.5" customHeight="1" thickBot="1" x14ac:dyDescent="0.35">
      <c r="A13" s="38">
        <v>28</v>
      </c>
      <c r="B13" s="46">
        <f t="shared" si="3"/>
        <v>2068.4060973333335</v>
      </c>
      <c r="C13" s="186">
        <f t="shared" si="4"/>
        <v>1335.6000000000004</v>
      </c>
      <c r="D13" s="128">
        <f t="shared" si="0"/>
        <v>661.47626992720006</v>
      </c>
      <c r="E13" s="38">
        <v>28</v>
      </c>
      <c r="F13" s="46">
        <f t="shared" si="1"/>
        <v>2688.9277240000006</v>
      </c>
      <c r="G13" s="46">
        <f t="shared" si="2"/>
        <v>859.91908613520025</v>
      </c>
      <c r="I13" s="114"/>
      <c r="J13" s="115" t="s">
        <v>53</v>
      </c>
      <c r="K13" s="130" t="s">
        <v>54</v>
      </c>
      <c r="L13" s="116" t="s">
        <v>55</v>
      </c>
    </row>
    <row r="14" spans="1:13" ht="16.5" customHeight="1" x14ac:dyDescent="0.3">
      <c r="A14" s="38">
        <v>27</v>
      </c>
      <c r="B14" s="46">
        <f t="shared" si="3"/>
        <v>1994.5344510000002</v>
      </c>
      <c r="C14" s="186">
        <f t="shared" si="4"/>
        <v>1287.9000000000001</v>
      </c>
      <c r="D14" s="128">
        <f t="shared" si="0"/>
        <v>637.85211742980016</v>
      </c>
      <c r="E14" s="38">
        <v>27</v>
      </c>
      <c r="F14" s="46">
        <f t="shared" si="1"/>
        <v>2592.8945910000007</v>
      </c>
      <c r="G14" s="46">
        <f t="shared" si="2"/>
        <v>829.20769020180023</v>
      </c>
      <c r="I14" s="262" t="s">
        <v>56</v>
      </c>
      <c r="J14" s="240">
        <f>IF(L8&gt;=J4,L8,J4)</f>
        <v>1847.4</v>
      </c>
      <c r="K14" s="242">
        <v>24.18</v>
      </c>
      <c r="L14" s="247">
        <f>J14*K14%</f>
        <v>446.70132000000001</v>
      </c>
    </row>
    <row r="15" spans="1:13" ht="16.5" customHeight="1" thickBot="1" x14ac:dyDescent="0.35">
      <c r="A15" s="38">
        <v>26</v>
      </c>
      <c r="B15" s="46">
        <f t="shared" si="3"/>
        <v>1920.6628046666667</v>
      </c>
      <c r="C15" s="186">
        <f t="shared" si="4"/>
        <v>1240.2</v>
      </c>
      <c r="D15" s="128">
        <f t="shared" si="0"/>
        <v>614.22796493240003</v>
      </c>
      <c r="E15" s="38">
        <v>26</v>
      </c>
      <c r="F15" s="46">
        <f t="shared" si="1"/>
        <v>2496.8614580000008</v>
      </c>
      <c r="G15" s="46">
        <f t="shared" si="2"/>
        <v>798.49629426840033</v>
      </c>
      <c r="I15" s="263"/>
      <c r="J15" s="241"/>
      <c r="K15" s="243"/>
      <c r="L15" s="248"/>
    </row>
    <row r="16" spans="1:13" ht="16.5" customHeight="1" x14ac:dyDescent="0.3">
      <c r="A16" s="38">
        <v>25</v>
      </c>
      <c r="B16" s="46">
        <f t="shared" si="3"/>
        <v>1846.7911583333334</v>
      </c>
      <c r="C16" s="186">
        <f t="shared" si="4"/>
        <v>1192.5000000000002</v>
      </c>
      <c r="D16" s="128">
        <f t="shared" si="0"/>
        <v>590.60381243500012</v>
      </c>
      <c r="E16" s="38">
        <v>25</v>
      </c>
      <c r="F16" s="46">
        <f t="shared" si="1"/>
        <v>2400.8283250000004</v>
      </c>
      <c r="G16" s="46">
        <f t="shared" si="2"/>
        <v>767.78489833500021</v>
      </c>
      <c r="I16" s="245" t="s">
        <v>57</v>
      </c>
      <c r="J16" s="240">
        <f>IF(L8&gt;=L4,L8,L4)</f>
        <v>1323</v>
      </c>
      <c r="K16" s="242">
        <v>7.8</v>
      </c>
      <c r="L16" s="226">
        <f>J16*K16%</f>
        <v>103.194</v>
      </c>
    </row>
    <row r="17" spans="1:14" ht="16.5" customHeight="1" thickBot="1" x14ac:dyDescent="0.35">
      <c r="A17" s="38">
        <v>24</v>
      </c>
      <c r="B17" s="46">
        <f t="shared" si="3"/>
        <v>1772.9195120000002</v>
      </c>
      <c r="C17" s="186">
        <f t="shared" si="4"/>
        <v>1144.8</v>
      </c>
      <c r="D17" s="128">
        <f t="shared" si="0"/>
        <v>566.9796599376001</v>
      </c>
      <c r="E17" s="38">
        <v>24</v>
      </c>
      <c r="F17" s="46">
        <f t="shared" si="1"/>
        <v>2304.7951920000005</v>
      </c>
      <c r="G17" s="46">
        <f t="shared" si="2"/>
        <v>737.07350240160019</v>
      </c>
      <c r="I17" s="246"/>
      <c r="J17" s="241"/>
      <c r="K17" s="243">
        <v>0.2</v>
      </c>
      <c r="L17" s="244"/>
    </row>
    <row r="18" spans="1:14" ht="16.5" customHeight="1" thickBot="1" x14ac:dyDescent="0.35">
      <c r="A18" s="38">
        <v>23</v>
      </c>
      <c r="B18" s="46">
        <f t="shared" si="3"/>
        <v>1699.0478656666667</v>
      </c>
      <c r="C18" s="186">
        <f t="shared" si="4"/>
        <v>1097.1000000000001</v>
      </c>
      <c r="D18" s="128">
        <f t="shared" si="0"/>
        <v>543.35550744020009</v>
      </c>
      <c r="E18" s="38">
        <v>23</v>
      </c>
      <c r="F18" s="46">
        <f t="shared" si="1"/>
        <v>2208.7620590000001</v>
      </c>
      <c r="G18" s="46">
        <f t="shared" si="2"/>
        <v>706.36210646820007</v>
      </c>
      <c r="I18" s="260" t="s">
        <v>61</v>
      </c>
      <c r="J18" s="261"/>
      <c r="K18" s="131">
        <f>(K14+K16)</f>
        <v>31.98</v>
      </c>
      <c r="L18" s="127">
        <f>SUM(L14:L17)</f>
        <v>549.89531999999997</v>
      </c>
    </row>
    <row r="19" spans="1:14" ht="16.5" customHeight="1" x14ac:dyDescent="0.3">
      <c r="A19" s="38">
        <v>22</v>
      </c>
      <c r="B19" s="46">
        <f t="shared" si="3"/>
        <v>1625.1762193333334</v>
      </c>
      <c r="C19" s="186">
        <f t="shared" si="4"/>
        <v>1049.4000000000001</v>
      </c>
      <c r="D19" s="128">
        <f t="shared" si="0"/>
        <v>519.73135494280007</v>
      </c>
      <c r="E19" s="38">
        <v>22</v>
      </c>
      <c r="F19" s="46">
        <f t="shared" si="1"/>
        <v>2112.7289260000002</v>
      </c>
      <c r="G19" s="46">
        <f t="shared" si="2"/>
        <v>675.65071053480017</v>
      </c>
      <c r="I19" s="123"/>
      <c r="J19" s="124"/>
      <c r="K19" s="125"/>
      <c r="L19" s="126"/>
    </row>
    <row r="20" spans="1:14" ht="16.5" customHeight="1" x14ac:dyDescent="0.3">
      <c r="A20" s="38">
        <v>21</v>
      </c>
      <c r="B20" s="46">
        <f t="shared" si="3"/>
        <v>1551.3045730000001</v>
      </c>
      <c r="C20" s="186">
        <f t="shared" si="4"/>
        <v>1001.7</v>
      </c>
      <c r="D20" s="128">
        <f t="shared" si="0"/>
        <v>496.10720244540011</v>
      </c>
      <c r="E20" s="38">
        <v>21</v>
      </c>
      <c r="F20" s="46">
        <f t="shared" si="1"/>
        <v>2016.6957930000003</v>
      </c>
      <c r="G20" s="46">
        <f t="shared" si="2"/>
        <v>644.93931460140016</v>
      </c>
      <c r="I20" s="249" t="s">
        <v>76</v>
      </c>
      <c r="J20" s="249"/>
      <c r="K20" s="249"/>
      <c r="L20" s="249"/>
      <c r="M20" s="249"/>
      <c r="N20" s="144"/>
    </row>
    <row r="21" spans="1:14" ht="16.5" customHeight="1" x14ac:dyDescent="0.3">
      <c r="A21" s="38">
        <v>20</v>
      </c>
      <c r="B21" s="46">
        <f t="shared" si="3"/>
        <v>1477.4329266666668</v>
      </c>
      <c r="C21" s="186">
        <f t="shared" si="4"/>
        <v>954.00000000000011</v>
      </c>
      <c r="D21" s="128">
        <f t="shared" si="0"/>
        <v>472.48304994800009</v>
      </c>
      <c r="E21" s="38">
        <v>20</v>
      </c>
      <c r="F21" s="46">
        <f t="shared" si="1"/>
        <v>1920.6626600000002</v>
      </c>
      <c r="G21" s="46">
        <f t="shared" si="2"/>
        <v>614.22791866800014</v>
      </c>
      <c r="I21" s="249"/>
      <c r="J21" s="249"/>
      <c r="K21" s="249"/>
      <c r="L21" s="249"/>
      <c r="M21" s="249"/>
      <c r="N21" s="144"/>
    </row>
    <row r="22" spans="1:14" ht="16.5" customHeight="1" thickBot="1" x14ac:dyDescent="0.35">
      <c r="A22" s="38">
        <v>19</v>
      </c>
      <c r="B22" s="46">
        <f t="shared" si="3"/>
        <v>1403.5612803333333</v>
      </c>
      <c r="C22" s="186">
        <f t="shared" si="4"/>
        <v>906.30000000000007</v>
      </c>
      <c r="D22" s="128">
        <f t="shared" si="0"/>
        <v>448.85889745060007</v>
      </c>
      <c r="E22" s="38">
        <v>19</v>
      </c>
      <c r="F22" s="46">
        <f t="shared" si="1"/>
        <v>1824.6295270000003</v>
      </c>
      <c r="G22" s="46">
        <f t="shared" si="2"/>
        <v>583.51652273460013</v>
      </c>
    </row>
    <row r="23" spans="1:14" ht="16.5" customHeight="1" x14ac:dyDescent="0.3">
      <c r="A23" s="38">
        <v>18</v>
      </c>
      <c r="B23" s="46">
        <f t="shared" si="3"/>
        <v>1329.6896340000001</v>
      </c>
      <c r="C23" s="186">
        <f t="shared" si="4"/>
        <v>858.60000000000014</v>
      </c>
      <c r="D23" s="128">
        <f t="shared" si="0"/>
        <v>425.23474495320005</v>
      </c>
      <c r="E23" s="38">
        <v>18</v>
      </c>
      <c r="F23" s="46">
        <f t="shared" si="1"/>
        <v>1728.5963940000001</v>
      </c>
      <c r="G23" s="46">
        <f t="shared" si="2"/>
        <v>552.80512680120012</v>
      </c>
      <c r="I23" s="228" t="s">
        <v>62</v>
      </c>
      <c r="J23" s="228"/>
      <c r="K23" s="229"/>
      <c r="L23" s="230">
        <v>0</v>
      </c>
    </row>
    <row r="24" spans="1:14" ht="16.5" customHeight="1" thickBot="1" x14ac:dyDescent="0.35">
      <c r="A24" s="38">
        <v>17</v>
      </c>
      <c r="B24" s="46">
        <f t="shared" si="3"/>
        <v>1255.8179876666668</v>
      </c>
      <c r="C24" s="186">
        <f t="shared" si="4"/>
        <v>810.9</v>
      </c>
      <c r="D24" s="128">
        <f t="shared" si="0"/>
        <v>401.61059245580009</v>
      </c>
      <c r="E24" s="38">
        <v>17</v>
      </c>
      <c r="F24" s="46">
        <f t="shared" si="1"/>
        <v>1632.5632610000002</v>
      </c>
      <c r="G24" s="46">
        <f t="shared" si="2"/>
        <v>522.0937308678001</v>
      </c>
      <c r="I24" s="228"/>
      <c r="J24" s="228"/>
      <c r="K24" s="229"/>
      <c r="L24" s="231"/>
    </row>
    <row r="25" spans="1:14" ht="16.5" customHeight="1" thickBot="1" x14ac:dyDescent="0.35">
      <c r="A25" s="38">
        <v>16</v>
      </c>
      <c r="B25" s="46">
        <f t="shared" si="3"/>
        <v>1181.9463413333333</v>
      </c>
      <c r="C25" s="186">
        <f t="shared" si="4"/>
        <v>763.2</v>
      </c>
      <c r="D25" s="128">
        <f t="shared" si="0"/>
        <v>377.98643995840001</v>
      </c>
      <c r="E25" s="38">
        <v>16</v>
      </c>
      <c r="F25" s="46">
        <f t="shared" si="1"/>
        <v>1536.5301280000003</v>
      </c>
      <c r="G25" s="46">
        <f t="shared" si="2"/>
        <v>491.38233493440015</v>
      </c>
    </row>
    <row r="26" spans="1:14" ht="16.5" customHeight="1" x14ac:dyDescent="0.3">
      <c r="A26" s="38">
        <v>15</v>
      </c>
      <c r="B26" s="46">
        <f t="shared" si="3"/>
        <v>1108.074695</v>
      </c>
      <c r="C26" s="186">
        <f t="shared" si="4"/>
        <v>715.5</v>
      </c>
      <c r="D26" s="128">
        <f t="shared" si="0"/>
        <v>354.36228746100005</v>
      </c>
      <c r="E26" s="38">
        <v>15</v>
      </c>
      <c r="F26" s="46">
        <f t="shared" si="1"/>
        <v>1440.4969950000002</v>
      </c>
      <c r="G26" s="46">
        <f t="shared" si="2"/>
        <v>460.67093900100008</v>
      </c>
      <c r="I26" s="228" t="s">
        <v>67</v>
      </c>
      <c r="J26" s="228"/>
      <c r="K26" s="229"/>
      <c r="L26" s="232">
        <v>0</v>
      </c>
    </row>
    <row r="27" spans="1:14" ht="16.5" customHeight="1" thickBot="1" x14ac:dyDescent="0.35">
      <c r="A27" s="38">
        <v>14</v>
      </c>
      <c r="B27" s="46">
        <f t="shared" si="3"/>
        <v>1034.2030486666667</v>
      </c>
      <c r="C27" s="186">
        <f t="shared" si="4"/>
        <v>667.80000000000018</v>
      </c>
      <c r="D27" s="128">
        <f t="shared" si="0"/>
        <v>330.73813496360003</v>
      </c>
      <c r="E27" s="38">
        <v>14</v>
      </c>
      <c r="F27" s="46">
        <f t="shared" si="1"/>
        <v>1344.4638620000003</v>
      </c>
      <c r="G27" s="46">
        <f t="shared" si="2"/>
        <v>429.95954306760012</v>
      </c>
      <c r="I27" s="228"/>
      <c r="J27" s="228"/>
      <c r="K27" s="229"/>
      <c r="L27" s="233"/>
    </row>
    <row r="28" spans="1:14" ht="16.5" customHeight="1" thickBot="1" x14ac:dyDescent="0.35">
      <c r="A28" s="38">
        <v>13</v>
      </c>
      <c r="B28" s="46">
        <f t="shared" si="3"/>
        <v>960.33140233333336</v>
      </c>
      <c r="C28" s="186">
        <f t="shared" si="4"/>
        <v>620.1</v>
      </c>
      <c r="D28" s="128">
        <f t="shared" si="0"/>
        <v>307.11398246620001</v>
      </c>
      <c r="E28" s="38">
        <v>13</v>
      </c>
      <c r="F28" s="46">
        <f t="shared" si="1"/>
        <v>1248.4307290000004</v>
      </c>
      <c r="G28" s="46">
        <f t="shared" si="2"/>
        <v>399.24814713420017</v>
      </c>
    </row>
    <row r="29" spans="1:14" ht="16.5" customHeight="1" x14ac:dyDescent="0.3">
      <c r="A29" s="38">
        <v>12</v>
      </c>
      <c r="B29" s="46">
        <f t="shared" si="3"/>
        <v>886.45975600000008</v>
      </c>
      <c r="C29" s="186">
        <f t="shared" si="4"/>
        <v>572.4</v>
      </c>
      <c r="D29" s="128">
        <f t="shared" si="0"/>
        <v>283.48982996880005</v>
      </c>
      <c r="E29" s="38">
        <v>12</v>
      </c>
      <c r="F29" s="46">
        <f t="shared" si="1"/>
        <v>1152.3975960000002</v>
      </c>
      <c r="G29" s="46">
        <f t="shared" si="2"/>
        <v>368.5367512008001</v>
      </c>
      <c r="I29" s="234" t="s">
        <v>63</v>
      </c>
      <c r="J29" s="235"/>
      <c r="K29" s="235"/>
      <c r="L29" s="236"/>
    </row>
    <row r="30" spans="1:14" ht="16.5" customHeight="1" thickBot="1" x14ac:dyDescent="0.35">
      <c r="A30" s="38">
        <v>11</v>
      </c>
      <c r="B30" s="46">
        <f t="shared" si="3"/>
        <v>812.5881096666667</v>
      </c>
      <c r="C30" s="186">
        <f t="shared" si="4"/>
        <v>524.70000000000005</v>
      </c>
      <c r="D30" s="128">
        <f t="shared" si="0"/>
        <v>259.86567747140003</v>
      </c>
      <c r="E30" s="38">
        <v>11</v>
      </c>
      <c r="F30" s="46">
        <f t="shared" si="1"/>
        <v>1056.3644630000001</v>
      </c>
      <c r="G30" s="46">
        <f t="shared" si="2"/>
        <v>337.82535526740008</v>
      </c>
      <c r="I30" s="237"/>
      <c r="J30" s="238"/>
      <c r="K30" s="238"/>
      <c r="L30" s="239"/>
    </row>
    <row r="31" spans="1:14" ht="16.5" customHeight="1" thickBot="1" x14ac:dyDescent="0.35">
      <c r="A31" s="38">
        <v>10</v>
      </c>
      <c r="B31" s="46">
        <f t="shared" si="3"/>
        <v>738.71646333333342</v>
      </c>
      <c r="C31" s="186">
        <f t="shared" si="4"/>
        <v>477.00000000000006</v>
      </c>
      <c r="D31" s="128">
        <f t="shared" si="0"/>
        <v>236.24152497400004</v>
      </c>
      <c r="E31" s="38">
        <v>10</v>
      </c>
      <c r="F31" s="46">
        <f t="shared" si="1"/>
        <v>960.33133000000009</v>
      </c>
      <c r="G31" s="46">
        <f t="shared" si="2"/>
        <v>307.11395933400007</v>
      </c>
      <c r="I31" s="134" t="s">
        <v>68</v>
      </c>
      <c r="J31" s="132" t="s">
        <v>53</v>
      </c>
      <c r="K31" s="130" t="s">
        <v>69</v>
      </c>
      <c r="L31" s="116" t="s">
        <v>55</v>
      </c>
    </row>
    <row r="32" spans="1:14" ht="16.5" customHeight="1" x14ac:dyDescent="0.3">
      <c r="A32" s="38">
        <v>9</v>
      </c>
      <c r="B32" s="46">
        <f t="shared" si="3"/>
        <v>664.84481700000003</v>
      </c>
      <c r="C32" s="186">
        <f t="shared" si="4"/>
        <v>429.30000000000007</v>
      </c>
      <c r="D32" s="128">
        <f t="shared" si="0"/>
        <v>212.61737247660002</v>
      </c>
      <c r="E32" s="38">
        <v>9</v>
      </c>
      <c r="F32" s="46">
        <f t="shared" si="1"/>
        <v>864.29819700000007</v>
      </c>
      <c r="G32" s="46">
        <f t="shared" si="2"/>
        <v>276.40256340060006</v>
      </c>
      <c r="I32" s="220">
        <f>((L23/37.5*7.5*5)/7)*30*$D$43</f>
        <v>0</v>
      </c>
      <c r="J32" s="222">
        <f>IF(L26&lt;I32,I32,L26)</f>
        <v>0</v>
      </c>
      <c r="K32" s="224">
        <v>31.98</v>
      </c>
      <c r="L32" s="226">
        <f>J32*K32%</f>
        <v>0</v>
      </c>
    </row>
    <row r="33" spans="1:14" ht="16.5" customHeight="1" thickBot="1" x14ac:dyDescent="0.35">
      <c r="A33" s="38">
        <v>8</v>
      </c>
      <c r="B33" s="46">
        <f t="shared" si="3"/>
        <v>590.97317066666665</v>
      </c>
      <c r="C33" s="186">
        <f t="shared" si="4"/>
        <v>381.6</v>
      </c>
      <c r="D33" s="128">
        <f t="shared" si="0"/>
        <v>188.99321997920001</v>
      </c>
      <c r="E33" s="38">
        <v>8</v>
      </c>
      <c r="F33" s="46">
        <f t="shared" si="1"/>
        <v>768.26506400000017</v>
      </c>
      <c r="G33" s="46">
        <f t="shared" si="2"/>
        <v>245.69116746720007</v>
      </c>
      <c r="I33" s="221"/>
      <c r="J33" s="223"/>
      <c r="K33" s="225"/>
      <c r="L33" s="227"/>
    </row>
    <row r="34" spans="1:14" ht="16.5" customHeight="1" thickBot="1" x14ac:dyDescent="0.35">
      <c r="A34" s="38">
        <v>7</v>
      </c>
      <c r="B34" s="46">
        <f t="shared" si="3"/>
        <v>517.10152433333337</v>
      </c>
      <c r="C34" s="186">
        <f t="shared" si="4"/>
        <v>333.90000000000009</v>
      </c>
      <c r="D34" s="128">
        <f t="shared" si="0"/>
        <v>165.36906748180002</v>
      </c>
      <c r="E34" s="38">
        <v>7</v>
      </c>
      <c r="F34" s="46">
        <f t="shared" si="1"/>
        <v>672.23193100000015</v>
      </c>
      <c r="G34" s="46">
        <f t="shared" si="2"/>
        <v>214.97977153380006</v>
      </c>
      <c r="I34" s="215" t="s">
        <v>64</v>
      </c>
      <c r="J34" s="216"/>
      <c r="K34" s="217"/>
      <c r="L34" s="127">
        <f>SUM(L32)</f>
        <v>0</v>
      </c>
    </row>
    <row r="35" spans="1:14" ht="16.5" customHeight="1" x14ac:dyDescent="0.3">
      <c r="A35" s="38">
        <v>6</v>
      </c>
      <c r="B35" s="46">
        <f t="shared" si="3"/>
        <v>443.22987800000004</v>
      </c>
      <c r="C35" s="186">
        <f t="shared" si="4"/>
        <v>286.2</v>
      </c>
      <c r="D35" s="128">
        <f t="shared" si="0"/>
        <v>141.74491498440003</v>
      </c>
      <c r="E35" s="38">
        <v>6</v>
      </c>
      <c r="F35" s="46">
        <f t="shared" si="1"/>
        <v>576.19879800000012</v>
      </c>
      <c r="G35" s="46">
        <f t="shared" si="2"/>
        <v>184.26837560040005</v>
      </c>
      <c r="N35" s="133"/>
    </row>
    <row r="36" spans="1:14" ht="16.5" customHeight="1" x14ac:dyDescent="0.3">
      <c r="A36" s="38">
        <v>5</v>
      </c>
      <c r="B36" s="46">
        <f t="shared" si="3"/>
        <v>369.35823166666671</v>
      </c>
      <c r="C36" s="186">
        <f t="shared" si="4"/>
        <v>238.50000000000003</v>
      </c>
      <c r="D36" s="128">
        <f t="shared" si="0"/>
        <v>118.12076248700002</v>
      </c>
      <c r="E36" s="38">
        <v>5</v>
      </c>
      <c r="F36" s="46">
        <f t="shared" si="1"/>
        <v>480.16566500000005</v>
      </c>
      <c r="G36" s="46">
        <f t="shared" si="2"/>
        <v>153.55697966700004</v>
      </c>
      <c r="I36" s="218" t="s">
        <v>66</v>
      </c>
      <c r="J36" s="218"/>
      <c r="K36" s="218"/>
      <c r="L36" s="218"/>
      <c r="M36" s="219" t="s">
        <v>98</v>
      </c>
      <c r="N36" s="133"/>
    </row>
    <row r="37" spans="1:14" ht="16.5" customHeight="1" x14ac:dyDescent="0.3">
      <c r="A37" s="38">
        <v>4</v>
      </c>
      <c r="B37" s="46">
        <f t="shared" si="3"/>
        <v>295.48658533333332</v>
      </c>
      <c r="C37" s="186">
        <f t="shared" si="4"/>
        <v>190.8</v>
      </c>
      <c r="D37" s="128">
        <f t="shared" si="0"/>
        <v>94.496609989600003</v>
      </c>
      <c r="E37" s="38">
        <v>4</v>
      </c>
      <c r="F37" s="46">
        <f t="shared" si="1"/>
        <v>384.13253200000008</v>
      </c>
      <c r="G37" s="46">
        <f t="shared" si="2"/>
        <v>122.84558373360004</v>
      </c>
      <c r="I37" s="218"/>
      <c r="J37" s="218"/>
      <c r="K37" s="218"/>
      <c r="L37" s="218"/>
      <c r="M37" s="219"/>
      <c r="N37" s="133"/>
    </row>
    <row r="38" spans="1:14" ht="16.5" customHeight="1" x14ac:dyDescent="0.3">
      <c r="A38" s="38">
        <v>3</v>
      </c>
      <c r="B38" s="46">
        <f t="shared" si="3"/>
        <v>221.61493900000002</v>
      </c>
      <c r="C38" s="186">
        <f t="shared" si="4"/>
        <v>143.1</v>
      </c>
      <c r="D38" s="128">
        <f t="shared" si="0"/>
        <v>70.872457492200013</v>
      </c>
      <c r="E38" s="38">
        <v>3</v>
      </c>
      <c r="F38" s="46">
        <f t="shared" si="1"/>
        <v>288.09939900000006</v>
      </c>
      <c r="G38" s="46">
        <f t="shared" si="2"/>
        <v>92.134187800200024</v>
      </c>
    </row>
    <row r="39" spans="1:14" ht="16.5" customHeight="1" x14ac:dyDescent="0.3">
      <c r="A39" s="38">
        <v>2</v>
      </c>
      <c r="B39" s="46">
        <f t="shared" si="3"/>
        <v>147.74329266666666</v>
      </c>
      <c r="C39" s="186">
        <f t="shared" si="4"/>
        <v>95.4</v>
      </c>
      <c r="D39" s="128">
        <f t="shared" si="0"/>
        <v>47.248304994800002</v>
      </c>
      <c r="E39" s="38">
        <v>2</v>
      </c>
      <c r="F39" s="46">
        <f t="shared" si="1"/>
        <v>192.06626600000004</v>
      </c>
      <c r="G39" s="46">
        <f t="shared" si="2"/>
        <v>61.422791866800019</v>
      </c>
    </row>
    <row r="40" spans="1:14" ht="16.5" customHeight="1" x14ac:dyDescent="0.3">
      <c r="A40" s="39">
        <v>1</v>
      </c>
      <c r="B40" s="195">
        <f t="shared" si="3"/>
        <v>73.871646333333331</v>
      </c>
      <c r="C40" s="196">
        <f t="shared" si="4"/>
        <v>47.7</v>
      </c>
      <c r="D40" s="197">
        <f t="shared" si="0"/>
        <v>23.624152497400001</v>
      </c>
      <c r="E40" s="39">
        <v>1</v>
      </c>
      <c r="F40" s="195">
        <f t="shared" si="1"/>
        <v>96.033133000000021</v>
      </c>
      <c r="G40" s="195">
        <f t="shared" si="2"/>
        <v>30.711395933400009</v>
      </c>
    </row>
    <row r="41" spans="1:14" x14ac:dyDescent="0.3">
      <c r="D41" s="194"/>
    </row>
    <row r="42" spans="1:14" ht="14" hidden="1" thickBot="1" x14ac:dyDescent="0.35"/>
    <row r="43" spans="1:14" ht="41" hidden="1" thickBot="1" x14ac:dyDescent="0.35">
      <c r="B43" s="191" t="s">
        <v>13</v>
      </c>
      <c r="C43" s="192"/>
      <c r="D43" s="193">
        <v>11.13</v>
      </c>
      <c r="E43" s="17"/>
    </row>
    <row r="44" spans="1:14" hidden="1" x14ac:dyDescent="0.3"/>
    <row r="45" spans="1:14" hidden="1" x14ac:dyDescent="0.3"/>
    <row r="46" spans="1:14" hidden="1" x14ac:dyDescent="0.3"/>
    <row r="47" spans="1:14" hidden="1" x14ac:dyDescent="0.3"/>
  </sheetData>
  <sheetProtection algorithmName="SHA-512" hashValue="gTSySOQNLqgGQm9X+jQ5mGy1rc95RZaUpO+76yxWZb6CMRA1QSAStCpq2REjRe3f8JVnHY7jN9NpodQ9781rIQ==" saltValue="OkZcRpOCTXfvpG4fDWw47Q==" spinCount="100000" sheet="1" objects="1" scenarios="1"/>
  <protectedRanges>
    <protectedRange sqref="M36" name="CALCULO RC"/>
    <protectedRange sqref="L8" name="RET TC_1"/>
    <protectedRange sqref="L26" name="RET TC_2"/>
    <protectedRange sqref="L23" name="DED_1"/>
  </protectedRanges>
  <mergeCells count="35">
    <mergeCell ref="I20:M21"/>
    <mergeCell ref="A1:G1"/>
    <mergeCell ref="I2:K2"/>
    <mergeCell ref="I4:I5"/>
    <mergeCell ref="J4:J5"/>
    <mergeCell ref="K4:K5"/>
    <mergeCell ref="L2:M2"/>
    <mergeCell ref="B2:D2"/>
    <mergeCell ref="F2:G2"/>
    <mergeCell ref="L4:L5"/>
    <mergeCell ref="M4:M5"/>
    <mergeCell ref="I18:J18"/>
    <mergeCell ref="L8:L9"/>
    <mergeCell ref="I8:K9"/>
    <mergeCell ref="I11:L12"/>
    <mergeCell ref="I14:I15"/>
    <mergeCell ref="J14:J15"/>
    <mergeCell ref="K14:K15"/>
    <mergeCell ref="L16:L17"/>
    <mergeCell ref="K16:K17"/>
    <mergeCell ref="I16:I17"/>
    <mergeCell ref="J16:J17"/>
    <mergeCell ref="L14:L15"/>
    <mergeCell ref="I26:K27"/>
    <mergeCell ref="L23:L24"/>
    <mergeCell ref="I23:K24"/>
    <mergeCell ref="L26:L27"/>
    <mergeCell ref="I29:L30"/>
    <mergeCell ref="I34:K34"/>
    <mergeCell ref="I36:L37"/>
    <mergeCell ref="M36:M37"/>
    <mergeCell ref="I32:I33"/>
    <mergeCell ref="J32:J33"/>
    <mergeCell ref="K32:K33"/>
    <mergeCell ref="L32:L33"/>
  </mergeCells>
  <phoneticPr fontId="3" type="noConversion"/>
  <hyperlinks>
    <hyperlink ref="M36:M37" r:id="rId1" display="CALCULO RC E INDEMNIZACION" xr:uid="{468CC840-2BB4-41C5-9636-6417891AB68F}"/>
  </hyperlinks>
  <pageMargins left="0.94488188976377963" right="0.86614173228346458" top="9.46969696969697E-3" bottom="0.39370078740157483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topLeftCell="A37" zoomScaleNormal="100" workbookViewId="0">
      <selection activeCell="A41" sqref="A41:XFD46"/>
    </sheetView>
  </sheetViews>
  <sheetFormatPr baseColWidth="10" defaultColWidth="11.54296875" defaultRowHeight="13.5" x14ac:dyDescent="0.3"/>
  <cols>
    <col min="1" max="1" width="18.453125" style="33" customWidth="1"/>
    <col min="2" max="2" width="24.6328125" style="50" customWidth="1"/>
    <col min="3" max="3" width="8.984375E-2" style="51" customWidth="1"/>
    <col min="4" max="4" width="18.453125" style="52" customWidth="1"/>
    <col min="5" max="5" width="18.453125" style="8" customWidth="1"/>
    <col min="6" max="6" width="24.81640625" style="49" customWidth="1"/>
    <col min="7" max="7" width="18.453125" style="49" customWidth="1"/>
    <col min="8" max="8" width="11.54296875" style="8"/>
    <col min="9" max="9" width="19.1796875" style="19" customWidth="1"/>
    <col min="10" max="10" width="17" style="8" bestFit="1" customWidth="1"/>
    <col min="11" max="11" width="19.81640625" style="8" bestFit="1" customWidth="1"/>
    <col min="12" max="12" width="16.1796875" style="8" bestFit="1" customWidth="1"/>
    <col min="13" max="13" width="15.1796875" style="8" customWidth="1"/>
    <col min="14" max="16384" width="11.54296875" style="8"/>
  </cols>
  <sheetData>
    <row r="1" spans="1:14" ht="65.25" customHeight="1" x14ac:dyDescent="0.3">
      <c r="A1" s="250" t="s">
        <v>106</v>
      </c>
      <c r="B1" s="251"/>
      <c r="C1" s="251"/>
      <c r="D1" s="251"/>
      <c r="E1" s="251"/>
      <c r="F1" s="251"/>
      <c r="G1" s="251"/>
    </row>
    <row r="2" spans="1:14" s="47" customFormat="1" ht="24" customHeight="1" x14ac:dyDescent="0.25">
      <c r="A2" s="48"/>
      <c r="B2" s="267" t="s">
        <v>45</v>
      </c>
      <c r="C2" s="267"/>
      <c r="D2" s="268"/>
      <c r="E2" s="57"/>
      <c r="F2" s="269" t="s">
        <v>46</v>
      </c>
      <c r="G2" s="270"/>
      <c r="I2" s="252" t="s">
        <v>48</v>
      </c>
      <c r="J2" s="252"/>
      <c r="K2" s="252"/>
      <c r="L2" s="252" t="s">
        <v>52</v>
      </c>
      <c r="M2" s="252"/>
      <c r="N2" s="36"/>
    </row>
    <row r="3" spans="1:14" s="27" customFormat="1" ht="40.5" x14ac:dyDescent="0.3">
      <c r="A3" s="40" t="s">
        <v>43</v>
      </c>
      <c r="B3" s="61" t="s">
        <v>44</v>
      </c>
      <c r="C3" s="62" t="s">
        <v>14</v>
      </c>
      <c r="D3" s="63" t="s">
        <v>111</v>
      </c>
      <c r="E3" s="40" t="s">
        <v>43</v>
      </c>
      <c r="F3" s="64" t="s">
        <v>44</v>
      </c>
      <c r="G3" s="63" t="s">
        <v>112</v>
      </c>
      <c r="I3" s="121" t="s">
        <v>47</v>
      </c>
      <c r="J3" s="121" t="s">
        <v>58</v>
      </c>
      <c r="K3" s="121" t="s">
        <v>59</v>
      </c>
      <c r="L3" s="122" t="s">
        <v>50</v>
      </c>
      <c r="M3" s="121" t="s">
        <v>51</v>
      </c>
    </row>
    <row r="4" spans="1:14" ht="15" customHeight="1" x14ac:dyDescent="0.3">
      <c r="A4" s="58">
        <v>37.5</v>
      </c>
      <c r="B4" s="59">
        <f>PARAMETROS!B23</f>
        <v>2275.5108249999998</v>
      </c>
      <c r="C4" s="60"/>
      <c r="D4" s="59"/>
      <c r="E4" s="58">
        <v>37.5</v>
      </c>
      <c r="F4" s="59">
        <f>PARAMETROS!C23</f>
        <v>2958.1629874999994</v>
      </c>
      <c r="G4" s="59">
        <f>IF(F4&gt;=$K$4,$K$4*$K$18%,F4*$K$18%)</f>
        <v>946.02052340249986</v>
      </c>
      <c r="I4" s="253">
        <v>1</v>
      </c>
      <c r="J4" s="265">
        <v>1847.4</v>
      </c>
      <c r="K4" s="265">
        <v>4720.5</v>
      </c>
      <c r="L4" s="266">
        <v>1323</v>
      </c>
      <c r="M4" s="266">
        <v>4720.5</v>
      </c>
    </row>
    <row r="5" spans="1:14" ht="15" customHeight="1" x14ac:dyDescent="0.3">
      <c r="A5" s="38">
        <v>36</v>
      </c>
      <c r="B5" s="53">
        <f>PRODUCT(B$4,A5)/A$4</f>
        <v>2184.4903920000002</v>
      </c>
      <c r="C5" s="54">
        <f t="shared" ref="C5:C40" si="0">(A5/$A$4*7.5*5)/7*30*$C$43</f>
        <v>1717.2000000000003</v>
      </c>
      <c r="D5" s="53">
        <f>IF(B5&lt;C5,C5*$K$18%,B5*$K$18%)</f>
        <v>698.60002736160016</v>
      </c>
      <c r="E5" s="38">
        <v>36</v>
      </c>
      <c r="F5" s="53">
        <f>PRODUCT(F$4,E5)/E$4</f>
        <v>2839.8364679999995</v>
      </c>
      <c r="G5" s="59">
        <f t="shared" ref="G5:G40" si="1">IF(F5&gt;=$K$4,$K$4*$K$18%,F5*$K$18%)</f>
        <v>908.17970246639993</v>
      </c>
      <c r="I5" s="253"/>
      <c r="J5" s="265"/>
      <c r="K5" s="265"/>
      <c r="L5" s="266"/>
      <c r="M5" s="266"/>
    </row>
    <row r="6" spans="1:14" ht="15" customHeight="1" x14ac:dyDescent="0.3">
      <c r="A6" s="38">
        <v>35</v>
      </c>
      <c r="B6" s="53">
        <f>PRODUCT(B$4,A6)/A$4</f>
        <v>2123.8101033333332</v>
      </c>
      <c r="C6" s="54">
        <f t="shared" si="0"/>
        <v>1669.5000000000002</v>
      </c>
      <c r="D6" s="53">
        <f t="shared" ref="D6:D40" si="2">IF(B6&lt;C6,C6*$K$18%,B6*$K$18%)</f>
        <v>679.19447104599999</v>
      </c>
      <c r="E6" s="38">
        <v>35</v>
      </c>
      <c r="F6" s="53">
        <f>PRODUCT(F$4,E6)/E$4</f>
        <v>2760.9521216666658</v>
      </c>
      <c r="G6" s="59">
        <f t="shared" si="1"/>
        <v>882.95248850899975</v>
      </c>
      <c r="I6" s="35"/>
      <c r="L6" s="112"/>
    </row>
    <row r="7" spans="1:14" ht="15" customHeight="1" thickBot="1" x14ac:dyDescent="0.35">
      <c r="A7" s="38">
        <v>34</v>
      </c>
      <c r="B7" s="53">
        <f t="shared" ref="B7:B40" si="3">PRODUCT(B$4,A7)/A$4</f>
        <v>2063.1298146666663</v>
      </c>
      <c r="C7" s="54">
        <f t="shared" si="0"/>
        <v>1621.8</v>
      </c>
      <c r="D7" s="53">
        <f t="shared" si="2"/>
        <v>659.78891473039994</v>
      </c>
      <c r="E7" s="38">
        <v>34</v>
      </c>
      <c r="F7" s="53">
        <f t="shared" ref="F7:F40" si="4">PRODUCT(F$4,E7)/E$4</f>
        <v>2682.067775333333</v>
      </c>
      <c r="G7" s="59">
        <f t="shared" si="1"/>
        <v>857.72527455159991</v>
      </c>
      <c r="I7" s="35"/>
      <c r="J7" s="19"/>
      <c r="L7" s="112"/>
    </row>
    <row r="8" spans="1:14" ht="15" customHeight="1" x14ac:dyDescent="0.3">
      <c r="A8" s="38">
        <v>33</v>
      </c>
      <c r="B8" s="53">
        <f t="shared" si="3"/>
        <v>2002.4495260000001</v>
      </c>
      <c r="C8" s="54">
        <f t="shared" si="0"/>
        <v>1574.1000000000004</v>
      </c>
      <c r="D8" s="53">
        <f t="shared" si="2"/>
        <v>640.38335841480011</v>
      </c>
      <c r="E8" s="38">
        <v>33</v>
      </c>
      <c r="F8" s="53">
        <f t="shared" si="4"/>
        <v>2603.1834289999993</v>
      </c>
      <c r="G8" s="59">
        <f t="shared" si="1"/>
        <v>832.49806059419984</v>
      </c>
      <c r="I8" s="228" t="s">
        <v>89</v>
      </c>
      <c r="J8" s="228"/>
      <c r="K8" s="229"/>
      <c r="L8" s="232">
        <v>0</v>
      </c>
    </row>
    <row r="9" spans="1:14" ht="15" customHeight="1" thickBot="1" x14ac:dyDescent="0.35">
      <c r="A9" s="38">
        <v>32</v>
      </c>
      <c r="B9" s="53">
        <f t="shared" si="3"/>
        <v>1941.7692373333332</v>
      </c>
      <c r="C9" s="54">
        <f t="shared" si="0"/>
        <v>1526.4</v>
      </c>
      <c r="D9" s="53">
        <f t="shared" si="2"/>
        <v>620.97780209920006</v>
      </c>
      <c r="E9" s="38">
        <v>32</v>
      </c>
      <c r="F9" s="53">
        <f t="shared" si="4"/>
        <v>2524.299082666666</v>
      </c>
      <c r="G9" s="59">
        <f t="shared" si="1"/>
        <v>807.27084663679989</v>
      </c>
      <c r="I9" s="228"/>
      <c r="J9" s="228"/>
      <c r="K9" s="229"/>
      <c r="L9" s="233"/>
    </row>
    <row r="10" spans="1:14" ht="15" customHeight="1" thickBot="1" x14ac:dyDescent="0.35">
      <c r="A10" s="38">
        <v>31</v>
      </c>
      <c r="B10" s="53">
        <f t="shared" si="3"/>
        <v>1881.0889486666665</v>
      </c>
      <c r="C10" s="54">
        <f t="shared" si="0"/>
        <v>1478.7</v>
      </c>
      <c r="D10" s="53">
        <f t="shared" si="2"/>
        <v>601.57224578360001</v>
      </c>
      <c r="E10" s="38">
        <v>31</v>
      </c>
      <c r="F10" s="53">
        <f t="shared" si="4"/>
        <v>2445.4147363333332</v>
      </c>
      <c r="G10" s="59">
        <f t="shared" si="1"/>
        <v>782.04363267940005</v>
      </c>
      <c r="I10" s="117"/>
      <c r="J10" s="118"/>
      <c r="K10" s="119"/>
      <c r="L10" s="120"/>
    </row>
    <row r="11" spans="1:14" ht="15" customHeight="1" x14ac:dyDescent="0.3">
      <c r="A11" s="38">
        <v>30</v>
      </c>
      <c r="B11" s="53">
        <f t="shared" si="3"/>
        <v>1820.4086600000001</v>
      </c>
      <c r="C11" s="54">
        <f t="shared" si="0"/>
        <v>1431</v>
      </c>
      <c r="D11" s="53">
        <f t="shared" si="2"/>
        <v>582.16668946800007</v>
      </c>
      <c r="E11" s="38">
        <v>30</v>
      </c>
      <c r="F11" s="53">
        <f t="shared" si="4"/>
        <v>2366.5303899999994</v>
      </c>
      <c r="G11" s="59">
        <f t="shared" si="1"/>
        <v>756.81641872199987</v>
      </c>
      <c r="I11" s="234" t="s">
        <v>60</v>
      </c>
      <c r="J11" s="235"/>
      <c r="K11" s="235"/>
      <c r="L11" s="236"/>
    </row>
    <row r="12" spans="1:14" ht="15" customHeight="1" thickBot="1" x14ac:dyDescent="0.35">
      <c r="A12" s="38">
        <v>29</v>
      </c>
      <c r="B12" s="53">
        <f t="shared" si="3"/>
        <v>1759.7283713333331</v>
      </c>
      <c r="C12" s="54">
        <f t="shared" si="0"/>
        <v>1383.3000000000002</v>
      </c>
      <c r="D12" s="53">
        <f t="shared" si="2"/>
        <v>562.76113315240002</v>
      </c>
      <c r="E12" s="38">
        <v>29</v>
      </c>
      <c r="F12" s="53">
        <f t="shared" si="4"/>
        <v>2287.6460436666662</v>
      </c>
      <c r="G12" s="59">
        <f t="shared" si="1"/>
        <v>731.58920476459991</v>
      </c>
      <c r="I12" s="237"/>
      <c r="J12" s="238"/>
      <c r="K12" s="238"/>
      <c r="L12" s="239"/>
    </row>
    <row r="13" spans="1:14" ht="15" customHeight="1" thickBot="1" x14ac:dyDescent="0.35">
      <c r="A13" s="38">
        <v>28</v>
      </c>
      <c r="B13" s="53">
        <f t="shared" si="3"/>
        <v>1699.0480826666667</v>
      </c>
      <c r="C13" s="54">
        <f t="shared" si="0"/>
        <v>1335.6000000000004</v>
      </c>
      <c r="D13" s="53">
        <f t="shared" si="2"/>
        <v>543.35557683680008</v>
      </c>
      <c r="E13" s="38">
        <v>28</v>
      </c>
      <c r="F13" s="53">
        <f t="shared" si="4"/>
        <v>2208.7616973333329</v>
      </c>
      <c r="G13" s="59">
        <f t="shared" si="1"/>
        <v>706.36199080719996</v>
      </c>
      <c r="I13" s="114"/>
      <c r="J13" s="115" t="s">
        <v>53</v>
      </c>
      <c r="K13" s="130" t="s">
        <v>54</v>
      </c>
      <c r="L13" s="116" t="s">
        <v>55</v>
      </c>
    </row>
    <row r="14" spans="1:14" ht="15" customHeight="1" x14ac:dyDescent="0.3">
      <c r="A14" s="38">
        <v>27</v>
      </c>
      <c r="B14" s="53">
        <f t="shared" si="3"/>
        <v>1638.3677939999998</v>
      </c>
      <c r="C14" s="54">
        <f t="shared" si="0"/>
        <v>1287.9000000000001</v>
      </c>
      <c r="D14" s="53">
        <f t="shared" si="2"/>
        <v>523.95002052120003</v>
      </c>
      <c r="E14" s="38">
        <v>27</v>
      </c>
      <c r="F14" s="53">
        <f t="shared" si="4"/>
        <v>2129.8773509999996</v>
      </c>
      <c r="G14" s="59">
        <f t="shared" si="1"/>
        <v>681.13477684979989</v>
      </c>
      <c r="I14" s="262" t="s">
        <v>56</v>
      </c>
      <c r="J14" s="240">
        <f>IF(L8&gt;=J4,L8,J4)</f>
        <v>1847.4</v>
      </c>
      <c r="K14" s="242">
        <v>24.18</v>
      </c>
      <c r="L14" s="247">
        <f>J14*K14%</f>
        <v>446.70132000000001</v>
      </c>
    </row>
    <row r="15" spans="1:14" ht="15" customHeight="1" thickBot="1" x14ac:dyDescent="0.35">
      <c r="A15" s="38">
        <v>26</v>
      </c>
      <c r="B15" s="53">
        <f t="shared" si="3"/>
        <v>1577.6875053333331</v>
      </c>
      <c r="C15" s="54">
        <f t="shared" si="0"/>
        <v>1240.2</v>
      </c>
      <c r="D15" s="53">
        <f t="shared" si="2"/>
        <v>504.54446420559998</v>
      </c>
      <c r="E15" s="38">
        <v>26</v>
      </c>
      <c r="F15" s="53">
        <f t="shared" si="4"/>
        <v>2050.9930046666664</v>
      </c>
      <c r="G15" s="59">
        <f t="shared" si="1"/>
        <v>655.90756289239994</v>
      </c>
      <c r="I15" s="263"/>
      <c r="J15" s="241"/>
      <c r="K15" s="243"/>
      <c r="L15" s="248"/>
    </row>
    <row r="16" spans="1:14" ht="15" customHeight="1" x14ac:dyDescent="0.3">
      <c r="A16" s="38">
        <v>25</v>
      </c>
      <c r="B16" s="53">
        <f t="shared" si="3"/>
        <v>1517.0072166666666</v>
      </c>
      <c r="C16" s="54">
        <f t="shared" si="0"/>
        <v>1192.5000000000002</v>
      </c>
      <c r="D16" s="53">
        <f t="shared" si="2"/>
        <v>485.13890789000004</v>
      </c>
      <c r="E16" s="38">
        <v>25</v>
      </c>
      <c r="F16" s="53">
        <f t="shared" si="4"/>
        <v>1972.1086583333331</v>
      </c>
      <c r="G16" s="59">
        <f t="shared" si="1"/>
        <v>630.68034893499998</v>
      </c>
      <c r="I16" s="245" t="s">
        <v>57</v>
      </c>
      <c r="J16" s="240">
        <f>IF(L8&gt;=L4,L8,L4)</f>
        <v>1323</v>
      </c>
      <c r="K16" s="242">
        <v>7.8</v>
      </c>
      <c r="L16" s="226">
        <f>J16*K16%</f>
        <v>103.194</v>
      </c>
    </row>
    <row r="17" spans="1:14" ht="15" customHeight="1" thickBot="1" x14ac:dyDescent="0.35">
      <c r="A17" s="38">
        <v>24</v>
      </c>
      <c r="B17" s="53">
        <f t="shared" si="3"/>
        <v>1456.326928</v>
      </c>
      <c r="C17" s="54">
        <f t="shared" si="0"/>
        <v>1144.8</v>
      </c>
      <c r="D17" s="53">
        <f t="shared" si="2"/>
        <v>465.73335157440005</v>
      </c>
      <c r="E17" s="38">
        <v>24</v>
      </c>
      <c r="F17" s="53">
        <f t="shared" si="4"/>
        <v>1893.2243119999996</v>
      </c>
      <c r="G17" s="59">
        <f t="shared" si="1"/>
        <v>605.45313497759992</v>
      </c>
      <c r="I17" s="246"/>
      <c r="J17" s="241"/>
      <c r="K17" s="243">
        <v>0.2</v>
      </c>
      <c r="L17" s="244"/>
    </row>
    <row r="18" spans="1:14" ht="15" customHeight="1" thickBot="1" x14ac:dyDescent="0.35">
      <c r="A18" s="38">
        <v>23</v>
      </c>
      <c r="B18" s="53">
        <f t="shared" si="3"/>
        <v>1395.6466393333333</v>
      </c>
      <c r="C18" s="54">
        <f t="shared" si="0"/>
        <v>1097.1000000000001</v>
      </c>
      <c r="D18" s="53">
        <f t="shared" si="2"/>
        <v>446.32779525879999</v>
      </c>
      <c r="E18" s="38">
        <v>23</v>
      </c>
      <c r="F18" s="53">
        <f t="shared" si="4"/>
        <v>1814.3399656666663</v>
      </c>
      <c r="G18" s="59">
        <f t="shared" si="1"/>
        <v>580.22592102019996</v>
      </c>
      <c r="I18" s="260" t="s">
        <v>61</v>
      </c>
      <c r="J18" s="261"/>
      <c r="K18" s="131">
        <f>(K14+K16)</f>
        <v>31.98</v>
      </c>
      <c r="L18" s="127">
        <f>SUM(L14:L17)</f>
        <v>549.89531999999997</v>
      </c>
    </row>
    <row r="19" spans="1:14" ht="15" customHeight="1" x14ac:dyDescent="0.3">
      <c r="A19" s="38">
        <v>22</v>
      </c>
      <c r="B19" s="53">
        <f t="shared" si="3"/>
        <v>1334.9663506666666</v>
      </c>
      <c r="C19" s="54">
        <f t="shared" si="0"/>
        <v>1049.4000000000001</v>
      </c>
      <c r="D19" s="53">
        <f t="shared" si="2"/>
        <v>426.9222389432</v>
      </c>
      <c r="E19" s="38">
        <v>22</v>
      </c>
      <c r="F19" s="53">
        <f t="shared" si="4"/>
        <v>1735.4556193333331</v>
      </c>
      <c r="G19" s="59">
        <f t="shared" si="1"/>
        <v>554.99870706280001</v>
      </c>
      <c r="I19" s="123"/>
      <c r="J19" s="124"/>
      <c r="K19" s="125"/>
      <c r="L19" s="126"/>
    </row>
    <row r="20" spans="1:14" ht="15" customHeight="1" x14ac:dyDescent="0.3">
      <c r="A20" s="38">
        <v>21</v>
      </c>
      <c r="B20" s="53">
        <f t="shared" si="3"/>
        <v>1274.2860619999999</v>
      </c>
      <c r="C20" s="54">
        <f t="shared" si="0"/>
        <v>1001.7</v>
      </c>
      <c r="D20" s="53">
        <f t="shared" si="2"/>
        <v>407.51668262760001</v>
      </c>
      <c r="E20" s="38">
        <v>21</v>
      </c>
      <c r="F20" s="53">
        <f t="shared" si="4"/>
        <v>1656.5712729999998</v>
      </c>
      <c r="G20" s="59">
        <f t="shared" si="1"/>
        <v>529.77149310539994</v>
      </c>
      <c r="I20" s="264" t="s">
        <v>76</v>
      </c>
      <c r="J20" s="264"/>
      <c r="K20" s="264"/>
      <c r="L20" s="264"/>
      <c r="M20" s="264"/>
      <c r="N20" s="264"/>
    </row>
    <row r="21" spans="1:14" ht="15" customHeight="1" x14ac:dyDescent="0.3">
      <c r="A21" s="38">
        <v>20</v>
      </c>
      <c r="B21" s="53">
        <f t="shared" si="3"/>
        <v>1213.6057733333332</v>
      </c>
      <c r="C21" s="54">
        <f t="shared" si="0"/>
        <v>954.00000000000011</v>
      </c>
      <c r="D21" s="53">
        <f t="shared" si="2"/>
        <v>388.11112631200001</v>
      </c>
      <c r="E21" s="38">
        <v>20</v>
      </c>
      <c r="F21" s="53">
        <f t="shared" si="4"/>
        <v>1577.6869266666663</v>
      </c>
      <c r="G21" s="59">
        <f t="shared" si="1"/>
        <v>504.54427914799993</v>
      </c>
      <c r="I21" s="264"/>
      <c r="J21" s="264"/>
      <c r="K21" s="264"/>
      <c r="L21" s="264"/>
      <c r="M21" s="264"/>
      <c r="N21" s="264"/>
    </row>
    <row r="22" spans="1:14" ht="15" customHeight="1" thickBot="1" x14ac:dyDescent="0.35">
      <c r="A22" s="38">
        <v>19</v>
      </c>
      <c r="B22" s="53">
        <f t="shared" si="3"/>
        <v>1152.9254846666665</v>
      </c>
      <c r="C22" s="54">
        <f t="shared" si="0"/>
        <v>906.30000000000007</v>
      </c>
      <c r="D22" s="53">
        <f t="shared" si="2"/>
        <v>368.70556999640002</v>
      </c>
      <c r="E22" s="38">
        <v>19</v>
      </c>
      <c r="F22" s="53">
        <f t="shared" si="4"/>
        <v>1498.802580333333</v>
      </c>
      <c r="G22" s="59">
        <f t="shared" si="1"/>
        <v>479.31706519059992</v>
      </c>
      <c r="I22" s="35"/>
      <c r="J22" s="19"/>
      <c r="L22" s="112"/>
    </row>
    <row r="23" spans="1:14" ht="15" customHeight="1" x14ac:dyDescent="0.3">
      <c r="A23" s="38">
        <v>18</v>
      </c>
      <c r="B23" s="53">
        <f t="shared" si="3"/>
        <v>1092.2451960000001</v>
      </c>
      <c r="C23" s="54">
        <f t="shared" si="0"/>
        <v>858.60000000000014</v>
      </c>
      <c r="D23" s="53">
        <f t="shared" si="2"/>
        <v>349.30001368080008</v>
      </c>
      <c r="E23" s="38">
        <v>18</v>
      </c>
      <c r="F23" s="53">
        <f t="shared" si="4"/>
        <v>1419.9182339999998</v>
      </c>
      <c r="G23" s="59">
        <f t="shared" si="1"/>
        <v>454.08985123319997</v>
      </c>
      <c r="I23" s="228" t="s">
        <v>62</v>
      </c>
      <c r="J23" s="228"/>
      <c r="K23" s="229"/>
      <c r="L23" s="230">
        <v>0</v>
      </c>
    </row>
    <row r="24" spans="1:14" ht="15" customHeight="1" thickBot="1" x14ac:dyDescent="0.35">
      <c r="A24" s="38">
        <v>17</v>
      </c>
      <c r="B24" s="53">
        <f t="shared" si="3"/>
        <v>1031.5649073333332</v>
      </c>
      <c r="C24" s="54">
        <f t="shared" si="0"/>
        <v>810.9</v>
      </c>
      <c r="D24" s="53">
        <f t="shared" si="2"/>
        <v>329.89445736519997</v>
      </c>
      <c r="E24" s="38">
        <v>17</v>
      </c>
      <c r="F24" s="53">
        <f t="shared" si="4"/>
        <v>1341.0338876666665</v>
      </c>
      <c r="G24" s="59">
        <f t="shared" si="1"/>
        <v>428.86263727579995</v>
      </c>
      <c r="I24" s="228"/>
      <c r="J24" s="228"/>
      <c r="K24" s="229"/>
      <c r="L24" s="231"/>
    </row>
    <row r="25" spans="1:14" ht="15" customHeight="1" thickBot="1" x14ac:dyDescent="0.35">
      <c r="A25" s="38">
        <v>16</v>
      </c>
      <c r="B25" s="53">
        <f t="shared" si="3"/>
        <v>970.8846186666666</v>
      </c>
      <c r="C25" s="54">
        <f t="shared" si="0"/>
        <v>763.2</v>
      </c>
      <c r="D25" s="53">
        <f t="shared" si="2"/>
        <v>310.48890104960003</v>
      </c>
      <c r="E25" s="38">
        <v>16</v>
      </c>
      <c r="F25" s="53">
        <f t="shared" si="4"/>
        <v>1262.149541333333</v>
      </c>
      <c r="G25" s="59">
        <f t="shared" si="1"/>
        <v>403.63542331839994</v>
      </c>
      <c r="I25" s="35"/>
      <c r="J25" s="19"/>
      <c r="L25" s="112"/>
    </row>
    <row r="26" spans="1:14" ht="15" customHeight="1" x14ac:dyDescent="0.3">
      <c r="A26" s="38">
        <v>15</v>
      </c>
      <c r="B26" s="53">
        <f t="shared" si="3"/>
        <v>910.20433000000003</v>
      </c>
      <c r="C26" s="54">
        <f t="shared" si="0"/>
        <v>715.5</v>
      </c>
      <c r="D26" s="53">
        <f t="shared" si="2"/>
        <v>291.08334473400004</v>
      </c>
      <c r="E26" s="38">
        <v>15</v>
      </c>
      <c r="F26" s="53">
        <f t="shared" si="4"/>
        <v>1183.2651949999997</v>
      </c>
      <c r="G26" s="59">
        <f t="shared" si="1"/>
        <v>378.40820936099993</v>
      </c>
      <c r="I26" s="228" t="s">
        <v>67</v>
      </c>
      <c r="J26" s="228"/>
      <c r="K26" s="229"/>
      <c r="L26" s="232">
        <v>0</v>
      </c>
    </row>
    <row r="27" spans="1:14" ht="15" customHeight="1" thickBot="1" x14ac:dyDescent="0.35">
      <c r="A27" s="38">
        <v>14</v>
      </c>
      <c r="B27" s="53">
        <f t="shared" si="3"/>
        <v>849.52404133333334</v>
      </c>
      <c r="C27" s="54">
        <f t="shared" si="0"/>
        <v>667.80000000000018</v>
      </c>
      <c r="D27" s="53">
        <f t="shared" si="2"/>
        <v>271.67778841840004</v>
      </c>
      <c r="E27" s="38">
        <v>14</v>
      </c>
      <c r="F27" s="53">
        <f t="shared" si="4"/>
        <v>1104.3808486666665</v>
      </c>
      <c r="G27" s="59">
        <f t="shared" si="1"/>
        <v>353.18099540359998</v>
      </c>
      <c r="I27" s="228"/>
      <c r="J27" s="228"/>
      <c r="K27" s="229"/>
      <c r="L27" s="233"/>
    </row>
    <row r="28" spans="1:14" ht="15" customHeight="1" thickBot="1" x14ac:dyDescent="0.35">
      <c r="A28" s="38">
        <v>13</v>
      </c>
      <c r="B28" s="53">
        <f t="shared" si="3"/>
        <v>788.84375266666655</v>
      </c>
      <c r="C28" s="54">
        <f t="shared" si="0"/>
        <v>620.1</v>
      </c>
      <c r="D28" s="53">
        <f t="shared" si="2"/>
        <v>252.27223210279999</v>
      </c>
      <c r="E28" s="38">
        <v>13</v>
      </c>
      <c r="F28" s="53">
        <f t="shared" si="4"/>
        <v>1025.4965023333332</v>
      </c>
      <c r="G28" s="59">
        <f t="shared" si="1"/>
        <v>327.95378144619997</v>
      </c>
      <c r="I28" s="35"/>
      <c r="J28" s="19"/>
      <c r="L28" s="112"/>
    </row>
    <row r="29" spans="1:14" ht="15" customHeight="1" x14ac:dyDescent="0.3">
      <c r="A29" s="38">
        <v>12</v>
      </c>
      <c r="B29" s="53">
        <f t="shared" si="3"/>
        <v>728.16346399999998</v>
      </c>
      <c r="C29" s="54">
        <f t="shared" si="0"/>
        <v>572.4</v>
      </c>
      <c r="D29" s="53">
        <f t="shared" si="2"/>
        <v>232.86667578720002</v>
      </c>
      <c r="E29" s="38">
        <v>12</v>
      </c>
      <c r="F29" s="53">
        <f t="shared" si="4"/>
        <v>946.6121559999998</v>
      </c>
      <c r="G29" s="59">
        <f t="shared" si="1"/>
        <v>302.72656748879996</v>
      </c>
      <c r="I29" s="234" t="s">
        <v>63</v>
      </c>
      <c r="J29" s="235"/>
      <c r="K29" s="235"/>
      <c r="L29" s="236"/>
    </row>
    <row r="30" spans="1:14" ht="15" customHeight="1" thickBot="1" x14ac:dyDescent="0.35">
      <c r="A30" s="38">
        <v>11</v>
      </c>
      <c r="B30" s="53">
        <f t="shared" si="3"/>
        <v>667.48317533333329</v>
      </c>
      <c r="C30" s="54">
        <f t="shared" si="0"/>
        <v>524.70000000000005</v>
      </c>
      <c r="D30" s="53">
        <f t="shared" si="2"/>
        <v>213.4611194716</v>
      </c>
      <c r="E30" s="38">
        <v>11</v>
      </c>
      <c r="F30" s="53">
        <f t="shared" si="4"/>
        <v>867.72780966666653</v>
      </c>
      <c r="G30" s="59">
        <f t="shared" si="1"/>
        <v>277.4993535314</v>
      </c>
      <c r="I30" s="237"/>
      <c r="J30" s="238"/>
      <c r="K30" s="238"/>
      <c r="L30" s="239"/>
    </row>
    <row r="31" spans="1:14" ht="15" customHeight="1" thickBot="1" x14ac:dyDescent="0.35">
      <c r="A31" s="38">
        <v>10</v>
      </c>
      <c r="B31" s="53">
        <f t="shared" si="3"/>
        <v>606.80288666666661</v>
      </c>
      <c r="C31" s="54">
        <f t="shared" si="0"/>
        <v>477.00000000000006</v>
      </c>
      <c r="D31" s="53">
        <f t="shared" si="2"/>
        <v>194.05556315600001</v>
      </c>
      <c r="E31" s="38">
        <v>10</v>
      </c>
      <c r="F31" s="53">
        <f t="shared" si="4"/>
        <v>788.84346333333315</v>
      </c>
      <c r="G31" s="59">
        <f t="shared" si="1"/>
        <v>252.27213957399997</v>
      </c>
      <c r="I31" s="134" t="s">
        <v>68</v>
      </c>
      <c r="J31" s="132" t="s">
        <v>53</v>
      </c>
      <c r="K31" s="130" t="s">
        <v>69</v>
      </c>
      <c r="L31" s="116" t="s">
        <v>55</v>
      </c>
    </row>
    <row r="32" spans="1:14" ht="15" customHeight="1" x14ac:dyDescent="0.3">
      <c r="A32" s="38">
        <v>9</v>
      </c>
      <c r="B32" s="53">
        <f t="shared" si="3"/>
        <v>546.12259800000004</v>
      </c>
      <c r="C32" s="54">
        <f t="shared" si="0"/>
        <v>429.30000000000007</v>
      </c>
      <c r="D32" s="53">
        <f t="shared" si="2"/>
        <v>174.65000684040004</v>
      </c>
      <c r="E32" s="38">
        <v>9</v>
      </c>
      <c r="F32" s="53">
        <f t="shared" si="4"/>
        <v>709.95911699999988</v>
      </c>
      <c r="G32" s="59">
        <f t="shared" si="1"/>
        <v>227.04492561659998</v>
      </c>
      <c r="I32" s="220">
        <f>((L23/37.5*7.5*5)/7)*30*$C$43</f>
        <v>0</v>
      </c>
      <c r="J32" s="222">
        <f>IF(L26&lt;I32,I32,L26)</f>
        <v>0</v>
      </c>
      <c r="K32" s="224">
        <v>31.98</v>
      </c>
      <c r="L32" s="226">
        <f>J32*K32%</f>
        <v>0</v>
      </c>
    </row>
    <row r="33" spans="1:14" ht="15" customHeight="1" thickBot="1" x14ac:dyDescent="0.35">
      <c r="A33" s="38">
        <v>8</v>
      </c>
      <c r="B33" s="53">
        <f t="shared" si="3"/>
        <v>485.4423093333333</v>
      </c>
      <c r="C33" s="54">
        <f t="shared" si="0"/>
        <v>381.6</v>
      </c>
      <c r="D33" s="53">
        <f t="shared" si="2"/>
        <v>155.24445052480002</v>
      </c>
      <c r="E33" s="38">
        <v>8</v>
      </c>
      <c r="F33" s="53">
        <f t="shared" si="4"/>
        <v>631.0747706666665</v>
      </c>
      <c r="G33" s="59">
        <f t="shared" si="1"/>
        <v>201.81771165919997</v>
      </c>
      <c r="I33" s="221"/>
      <c r="J33" s="223"/>
      <c r="K33" s="225"/>
      <c r="L33" s="227"/>
    </row>
    <row r="34" spans="1:14" ht="15" customHeight="1" thickBot="1" x14ac:dyDescent="0.35">
      <c r="A34" s="38">
        <v>7</v>
      </c>
      <c r="B34" s="53">
        <f t="shared" si="3"/>
        <v>424.76202066666667</v>
      </c>
      <c r="C34" s="54">
        <f t="shared" si="0"/>
        <v>333.90000000000009</v>
      </c>
      <c r="D34" s="53">
        <f t="shared" si="2"/>
        <v>135.83889420920002</v>
      </c>
      <c r="E34" s="38">
        <v>7</v>
      </c>
      <c r="F34" s="53">
        <f t="shared" si="4"/>
        <v>552.19042433333323</v>
      </c>
      <c r="G34" s="59">
        <f t="shared" si="1"/>
        <v>176.59049770179999</v>
      </c>
      <c r="I34" s="215" t="s">
        <v>64</v>
      </c>
      <c r="J34" s="216"/>
      <c r="K34" s="217"/>
      <c r="L34" s="127">
        <f>SUM(L32)</f>
        <v>0</v>
      </c>
    </row>
    <row r="35" spans="1:14" ht="15" customHeight="1" x14ac:dyDescent="0.3">
      <c r="A35" s="38">
        <v>6</v>
      </c>
      <c r="B35" s="53">
        <f t="shared" si="3"/>
        <v>364.08173199999999</v>
      </c>
      <c r="C35" s="54">
        <f t="shared" si="0"/>
        <v>286.2</v>
      </c>
      <c r="D35" s="53">
        <f t="shared" si="2"/>
        <v>116.43333789360001</v>
      </c>
      <c r="E35" s="38">
        <v>6</v>
      </c>
      <c r="F35" s="53">
        <f t="shared" si="4"/>
        <v>473.3060779999999</v>
      </c>
      <c r="G35" s="59">
        <f t="shared" si="1"/>
        <v>151.36328374439998</v>
      </c>
      <c r="I35" s="35"/>
      <c r="J35" s="19"/>
      <c r="L35" s="112"/>
      <c r="N35" s="133"/>
    </row>
    <row r="36" spans="1:14" ht="15" customHeight="1" x14ac:dyDescent="0.3">
      <c r="A36" s="38">
        <v>5</v>
      </c>
      <c r="B36" s="53">
        <f t="shared" si="3"/>
        <v>303.4014433333333</v>
      </c>
      <c r="C36" s="54">
        <f t="shared" si="0"/>
        <v>238.50000000000003</v>
      </c>
      <c r="D36" s="53">
        <f t="shared" si="2"/>
        <v>97.027781578000003</v>
      </c>
      <c r="E36" s="38">
        <v>5</v>
      </c>
      <c r="F36" s="53">
        <f t="shared" si="4"/>
        <v>394.42173166666657</v>
      </c>
      <c r="G36" s="59">
        <f t="shared" si="1"/>
        <v>126.13606978699998</v>
      </c>
      <c r="I36" s="218" t="s">
        <v>66</v>
      </c>
      <c r="J36" s="218"/>
      <c r="K36" s="218"/>
      <c r="L36" s="218"/>
      <c r="M36" s="219" t="s">
        <v>98</v>
      </c>
      <c r="N36" s="133"/>
    </row>
    <row r="37" spans="1:14" ht="15" customHeight="1" x14ac:dyDescent="0.3">
      <c r="A37" s="38">
        <v>4</v>
      </c>
      <c r="B37" s="53">
        <f t="shared" si="3"/>
        <v>242.72115466666665</v>
      </c>
      <c r="C37" s="54">
        <f t="shared" si="0"/>
        <v>190.8</v>
      </c>
      <c r="D37" s="53">
        <f t="shared" si="2"/>
        <v>77.622225262400008</v>
      </c>
      <c r="E37" s="38">
        <v>4</v>
      </c>
      <c r="F37" s="53">
        <f t="shared" si="4"/>
        <v>315.53738533333325</v>
      </c>
      <c r="G37" s="59">
        <f t="shared" si="1"/>
        <v>100.90885582959999</v>
      </c>
      <c r="I37" s="218"/>
      <c r="J37" s="218"/>
      <c r="K37" s="218"/>
      <c r="L37" s="218"/>
      <c r="M37" s="219"/>
      <c r="N37" s="133"/>
    </row>
    <row r="38" spans="1:14" ht="15" customHeight="1" x14ac:dyDescent="0.3">
      <c r="A38" s="38">
        <v>3</v>
      </c>
      <c r="B38" s="53">
        <f t="shared" si="3"/>
        <v>182.04086599999999</v>
      </c>
      <c r="C38" s="54">
        <f t="shared" si="0"/>
        <v>143.1</v>
      </c>
      <c r="D38" s="53">
        <f t="shared" si="2"/>
        <v>58.216668946800006</v>
      </c>
      <c r="E38" s="38">
        <v>3</v>
      </c>
      <c r="F38" s="53">
        <f t="shared" si="4"/>
        <v>236.65303899999995</v>
      </c>
      <c r="G38" s="59">
        <f t="shared" si="1"/>
        <v>75.68164187219999</v>
      </c>
      <c r="I38" s="8"/>
    </row>
    <row r="39" spans="1:14" ht="15" customHeight="1" x14ac:dyDescent="0.3">
      <c r="A39" s="38">
        <v>2</v>
      </c>
      <c r="B39" s="53">
        <f t="shared" si="3"/>
        <v>121.36057733333332</v>
      </c>
      <c r="C39" s="54">
        <f t="shared" si="0"/>
        <v>95.4</v>
      </c>
      <c r="D39" s="53">
        <f t="shared" si="2"/>
        <v>38.811112631200004</v>
      </c>
      <c r="E39" s="38">
        <v>2</v>
      </c>
      <c r="F39" s="53">
        <f t="shared" si="4"/>
        <v>157.76869266666662</v>
      </c>
      <c r="G39" s="59">
        <f t="shared" si="1"/>
        <v>50.454427914799993</v>
      </c>
      <c r="I39" s="8"/>
    </row>
    <row r="40" spans="1:14" ht="15" customHeight="1" x14ac:dyDescent="0.3">
      <c r="A40" s="39">
        <v>1</v>
      </c>
      <c r="B40" s="55">
        <f t="shared" si="3"/>
        <v>60.680288666666662</v>
      </c>
      <c r="C40" s="56">
        <f t="shared" si="0"/>
        <v>47.7</v>
      </c>
      <c r="D40" s="55">
        <f t="shared" si="2"/>
        <v>19.405556315600002</v>
      </c>
      <c r="E40" s="39">
        <v>1</v>
      </c>
      <c r="F40" s="55">
        <f t="shared" si="4"/>
        <v>78.884346333333312</v>
      </c>
      <c r="G40" s="55">
        <f t="shared" si="1"/>
        <v>25.227213957399997</v>
      </c>
      <c r="I40" s="8"/>
    </row>
    <row r="41" spans="1:14" hidden="1" x14ac:dyDescent="0.3">
      <c r="C41" s="208" t="s">
        <v>94</v>
      </c>
      <c r="D41" s="198"/>
    </row>
    <row r="42" spans="1:14" ht="14" hidden="1" thickBot="1" x14ac:dyDescent="0.35"/>
    <row r="43" spans="1:14" ht="42" hidden="1" customHeight="1" thickBot="1" x14ac:dyDescent="0.35">
      <c r="B43" s="199" t="s">
        <v>13</v>
      </c>
      <c r="C43" s="200">
        <v>11.13</v>
      </c>
      <c r="E43" s="17"/>
    </row>
    <row r="44" spans="1:14" hidden="1" x14ac:dyDescent="0.3"/>
    <row r="45" spans="1:14" hidden="1" x14ac:dyDescent="0.3"/>
    <row r="46" spans="1:14" hidden="1" x14ac:dyDescent="0.3"/>
  </sheetData>
  <sheetProtection algorithmName="SHA-512" hashValue="JdN+5BjIktJZ/2HDdqYjlPLfKRmZ/0EFVvDmXA4vcAt4Ud9TJZ0NMGpqYx2F5KXu0in+nO7i2agrv2cWsbq+lg==" saltValue="FyJqOEe+ilPN62qf9+XgLw==" spinCount="100000" sheet="1" objects="1" scenarios="1"/>
  <protectedRanges>
    <protectedRange sqref="M36" name="CALCULO RC"/>
    <protectedRange sqref="L8 L26" name="RET TC_1"/>
    <protectedRange sqref="L23" name="DED_1"/>
  </protectedRanges>
  <mergeCells count="35">
    <mergeCell ref="B2:D2"/>
    <mergeCell ref="F2:G2"/>
    <mergeCell ref="A1:G1"/>
    <mergeCell ref="I2:K2"/>
    <mergeCell ref="L2:M2"/>
    <mergeCell ref="I4:I5"/>
    <mergeCell ref="J4:J5"/>
    <mergeCell ref="K4:K5"/>
    <mergeCell ref="L4:L5"/>
    <mergeCell ref="M4:M5"/>
    <mergeCell ref="I8:K9"/>
    <mergeCell ref="L8:L9"/>
    <mergeCell ref="I11:L12"/>
    <mergeCell ref="I14:I15"/>
    <mergeCell ref="J14:J15"/>
    <mergeCell ref="K14:K15"/>
    <mergeCell ref="L14:L15"/>
    <mergeCell ref="I16:I17"/>
    <mergeCell ref="J16:J17"/>
    <mergeCell ref="K16:K17"/>
    <mergeCell ref="L16:L17"/>
    <mergeCell ref="I18:J18"/>
    <mergeCell ref="I20:N21"/>
    <mergeCell ref="I23:K24"/>
    <mergeCell ref="L23:L24"/>
    <mergeCell ref="I26:K27"/>
    <mergeCell ref="L26:L27"/>
    <mergeCell ref="I34:K34"/>
    <mergeCell ref="I36:L37"/>
    <mergeCell ref="M36:M37"/>
    <mergeCell ref="I29:L30"/>
    <mergeCell ref="I32:I33"/>
    <mergeCell ref="J32:J33"/>
    <mergeCell ref="K32:K33"/>
    <mergeCell ref="L32:L33"/>
  </mergeCells>
  <hyperlinks>
    <hyperlink ref="M36:M37" r:id="rId1" display="CALCULO RC E INDEMNIZACION" xr:uid="{00000000-0004-0000-0100-000000000000}"/>
  </hyperlinks>
  <pageMargins left="0.94488188976377963" right="0.86614173228346458" top="0" bottom="0.39370078740157483" header="0" footer="0"/>
  <pageSetup paperSize="9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B1" zoomScaleNormal="100" workbookViewId="0">
      <selection activeCell="B18" sqref="B18:C18"/>
    </sheetView>
  </sheetViews>
  <sheetFormatPr baseColWidth="10" defaultColWidth="11.54296875" defaultRowHeight="14" x14ac:dyDescent="0.3"/>
  <cols>
    <col min="1" max="1" width="40.81640625" style="165" customWidth="1"/>
    <col min="2" max="4" width="24.81640625" style="70" customWidth="1"/>
    <col min="5" max="5" width="8" style="5" customWidth="1"/>
    <col min="6" max="6" width="30" style="7" customWidth="1"/>
    <col min="7" max="7" width="20.81640625" style="5" customWidth="1"/>
    <col min="8" max="8" width="24.1796875" style="5" customWidth="1"/>
    <col min="9" max="9" width="20.54296875" style="5" customWidth="1"/>
    <col min="10" max="10" width="15.1796875" style="5" customWidth="1"/>
    <col min="11" max="16384" width="11.54296875" style="5"/>
  </cols>
  <sheetData>
    <row r="1" spans="1:10" s="8" customFormat="1" ht="55.5" customHeight="1" thickBot="1" x14ac:dyDescent="0.35">
      <c r="A1" s="273" t="s">
        <v>97</v>
      </c>
      <c r="B1" s="274"/>
      <c r="C1" s="274"/>
      <c r="D1" s="275"/>
      <c r="F1" s="155" t="s">
        <v>81</v>
      </c>
      <c r="G1" s="276" t="s">
        <v>48</v>
      </c>
      <c r="H1" s="277"/>
      <c r="I1" s="276" t="s">
        <v>52</v>
      </c>
      <c r="J1" s="277"/>
    </row>
    <row r="2" spans="1:10" s="36" customFormat="1" ht="34.5" customHeight="1" x14ac:dyDescent="0.25">
      <c r="A2" s="161" t="s">
        <v>80</v>
      </c>
      <c r="B2" s="271" t="s">
        <v>45</v>
      </c>
      <c r="C2" s="272"/>
      <c r="D2" s="272"/>
      <c r="E2" s="171"/>
      <c r="F2" s="121" t="s">
        <v>82</v>
      </c>
      <c r="G2" s="121" t="s">
        <v>58</v>
      </c>
      <c r="H2" s="121" t="s">
        <v>59</v>
      </c>
      <c r="I2" s="122" t="s">
        <v>50</v>
      </c>
      <c r="J2" s="121" t="s">
        <v>51</v>
      </c>
    </row>
    <row r="3" spans="1:10" s="27" customFormat="1" ht="27" x14ac:dyDescent="0.3">
      <c r="A3" s="136"/>
      <c r="B3" s="65" t="s">
        <v>93</v>
      </c>
      <c r="C3" s="137" t="s">
        <v>78</v>
      </c>
      <c r="D3" s="137" t="s">
        <v>84</v>
      </c>
      <c r="F3" s="138">
        <v>9.82</v>
      </c>
      <c r="G3" s="201">
        <v>1629.3</v>
      </c>
      <c r="H3" s="201">
        <v>4495.5</v>
      </c>
      <c r="I3" s="202">
        <v>1166.7</v>
      </c>
      <c r="J3" s="202">
        <v>4495.5</v>
      </c>
    </row>
    <row r="4" spans="1:10" s="21" customFormat="1" ht="30.75" customHeight="1" thickBot="1" x14ac:dyDescent="0.3">
      <c r="A4" s="162" t="s">
        <v>79</v>
      </c>
      <c r="B4" s="145">
        <v>30752.12</v>
      </c>
      <c r="C4" s="174">
        <f>B4/12</f>
        <v>2562.6766666666667</v>
      </c>
      <c r="D4" s="175">
        <f>B4/14</f>
        <v>2196.58</v>
      </c>
      <c r="F4" s="150"/>
      <c r="G4" s="151"/>
      <c r="H4" s="151"/>
      <c r="I4" s="152"/>
      <c r="J4" s="152"/>
    </row>
    <row r="5" spans="1:10" s="8" customFormat="1" ht="24" customHeight="1" thickBot="1" x14ac:dyDescent="0.35">
      <c r="A5" s="163" t="s">
        <v>70</v>
      </c>
      <c r="B5" s="146">
        <f>B4*56%</f>
        <v>17221.1872</v>
      </c>
      <c r="C5" s="146">
        <f>B5/12</f>
        <v>1435.0989333333334</v>
      </c>
      <c r="D5" s="147">
        <f>B5/14</f>
        <v>1230.0848000000001</v>
      </c>
      <c r="F5" s="278" t="s">
        <v>95</v>
      </c>
      <c r="G5" s="278"/>
      <c r="H5" s="278"/>
      <c r="I5" s="207">
        <v>0</v>
      </c>
    </row>
    <row r="6" spans="1:10" s="8" customFormat="1" ht="24" customHeight="1" x14ac:dyDescent="0.3">
      <c r="A6" s="163" t="s">
        <v>71</v>
      </c>
      <c r="B6" s="146">
        <f>B4*56%</f>
        <v>17221.1872</v>
      </c>
      <c r="C6" s="176">
        <f>B6/12</f>
        <v>1435.0989333333334</v>
      </c>
      <c r="D6" s="172">
        <f t="shared" ref="D6:D10" si="0">B6/14</f>
        <v>1230.0848000000001</v>
      </c>
      <c r="F6" s="279" t="s">
        <v>86</v>
      </c>
      <c r="G6" s="280"/>
      <c r="H6" s="280"/>
      <c r="I6" s="281"/>
      <c r="J6" s="154"/>
    </row>
    <row r="7" spans="1:10" s="8" customFormat="1" ht="24" customHeight="1" thickBot="1" x14ac:dyDescent="0.35">
      <c r="A7" s="163" t="s">
        <v>72</v>
      </c>
      <c r="B7" s="146">
        <f>B4*60%</f>
        <v>18451.271999999997</v>
      </c>
      <c r="C7" s="176">
        <f>B7/12</f>
        <v>1537.6059999999998</v>
      </c>
      <c r="D7" s="172">
        <f t="shared" si="0"/>
        <v>1317.9479999999999</v>
      </c>
      <c r="F7" s="282"/>
      <c r="G7" s="283"/>
      <c r="H7" s="283"/>
      <c r="I7" s="284"/>
      <c r="J7" s="154"/>
    </row>
    <row r="8" spans="1:10" s="8" customFormat="1" ht="24" customHeight="1" thickBot="1" x14ac:dyDescent="0.35">
      <c r="A8" s="163" t="s">
        <v>73</v>
      </c>
      <c r="B8" s="146">
        <f>B4*75%</f>
        <v>23064.09</v>
      </c>
      <c r="C8" s="146">
        <f>B8/12</f>
        <v>1922.0074999999999</v>
      </c>
      <c r="D8" s="147">
        <f t="shared" si="0"/>
        <v>1647.4349999999999</v>
      </c>
      <c r="F8" s="114"/>
      <c r="G8" s="132" t="s">
        <v>53</v>
      </c>
      <c r="H8" s="156" t="s">
        <v>54</v>
      </c>
      <c r="I8" s="139" t="s">
        <v>55</v>
      </c>
    </row>
    <row r="9" spans="1:10" s="8" customFormat="1" ht="15" customHeight="1" x14ac:dyDescent="0.3">
      <c r="A9" s="163"/>
      <c r="B9" s="146"/>
      <c r="C9" s="146"/>
      <c r="D9" s="147"/>
      <c r="F9" s="285" t="s">
        <v>56</v>
      </c>
      <c r="G9" s="240">
        <f>IF($I$5&gt;=$G$3,$I$5,$G$3)</f>
        <v>1629.3</v>
      </c>
      <c r="H9" s="224">
        <v>17.02</v>
      </c>
      <c r="I9" s="240">
        <f>G9*H9%</f>
        <v>277.30685999999997</v>
      </c>
    </row>
    <row r="10" spans="1:10" s="8" customFormat="1" ht="15" customHeight="1" thickBot="1" x14ac:dyDescent="0.35">
      <c r="A10" s="164" t="s">
        <v>74</v>
      </c>
      <c r="B10" s="148">
        <f>(SUM(B5:B8))/4</f>
        <v>18989.434099999999</v>
      </c>
      <c r="C10" s="177">
        <f>(SUM(C5:C8))/4</f>
        <v>1582.4528416666667</v>
      </c>
      <c r="D10" s="173">
        <f t="shared" si="0"/>
        <v>1356.38815</v>
      </c>
      <c r="F10" s="286"/>
      <c r="G10" s="241"/>
      <c r="H10" s="225"/>
      <c r="I10" s="241"/>
    </row>
    <row r="11" spans="1:10" ht="14.25" customHeight="1" x14ac:dyDescent="0.3">
      <c r="F11" s="285" t="s">
        <v>57</v>
      </c>
      <c r="G11" s="240">
        <f>IF($I$5&gt;=$I$3,$I$5,$I$3)</f>
        <v>1166.7</v>
      </c>
      <c r="H11" s="224">
        <v>9</v>
      </c>
      <c r="I11" s="240">
        <f>G11*H11%</f>
        <v>105.003</v>
      </c>
    </row>
    <row r="12" spans="1:10" ht="14.5" thickBot="1" x14ac:dyDescent="0.35">
      <c r="F12" s="286"/>
      <c r="G12" s="241"/>
      <c r="H12" s="225"/>
      <c r="I12" s="241"/>
    </row>
    <row r="13" spans="1:10" ht="24" customHeight="1" thickBot="1" x14ac:dyDescent="0.35">
      <c r="A13" s="218" t="s">
        <v>99</v>
      </c>
      <c r="B13" s="218"/>
      <c r="C13" s="218"/>
      <c r="D13" s="218"/>
      <c r="F13" s="260" t="s">
        <v>83</v>
      </c>
      <c r="G13" s="261"/>
      <c r="H13" s="158">
        <f>SUM(H9:H12)</f>
        <v>26.02</v>
      </c>
      <c r="I13" s="153">
        <f>SUM(I9:I12)</f>
        <v>382.30985999999996</v>
      </c>
    </row>
    <row r="14" spans="1:10" x14ac:dyDescent="0.3">
      <c r="A14" s="218"/>
      <c r="B14" s="218"/>
      <c r="C14" s="218"/>
      <c r="D14" s="218"/>
    </row>
    <row r="15" spans="1:10" x14ac:dyDescent="0.3">
      <c r="A15" s="291" t="s">
        <v>100</v>
      </c>
      <c r="B15" s="291"/>
      <c r="C15" s="291"/>
      <c r="D15" s="291"/>
    </row>
    <row r="16" spans="1:10" ht="15" customHeight="1" thickBot="1" x14ac:dyDescent="0.35">
      <c r="A16" s="291"/>
      <c r="B16" s="291"/>
      <c r="C16" s="291"/>
      <c r="D16" s="291"/>
    </row>
    <row r="17" spans="1:10" ht="28.5" customHeight="1" thickBot="1" x14ac:dyDescent="0.35">
      <c r="A17" s="166"/>
      <c r="B17"/>
      <c r="C17"/>
      <c r="D17"/>
      <c r="F17" s="278" t="s">
        <v>95</v>
      </c>
      <c r="G17" s="278"/>
      <c r="H17" s="278"/>
      <c r="I17" s="207">
        <v>0</v>
      </c>
    </row>
    <row r="18" spans="1:10" ht="42" customHeight="1" thickBot="1" x14ac:dyDescent="0.35">
      <c r="A18" s="178"/>
      <c r="B18" s="292"/>
      <c r="C18" s="292"/>
      <c r="D18" s="167"/>
      <c r="F18" s="293" t="s">
        <v>87</v>
      </c>
      <c r="G18" s="294"/>
      <c r="H18" s="294"/>
      <c r="I18" s="294"/>
      <c r="J18" s="183"/>
    </row>
    <row r="19" spans="1:10" ht="14.5" thickBot="1" x14ac:dyDescent="0.35">
      <c r="A19" s="169"/>
      <c r="B19" s="169"/>
      <c r="C19" s="169"/>
      <c r="D19" s="169"/>
      <c r="F19" s="157"/>
      <c r="G19" s="132" t="s">
        <v>53</v>
      </c>
      <c r="H19" s="156" t="s">
        <v>54</v>
      </c>
      <c r="I19" s="139" t="s">
        <v>55</v>
      </c>
      <c r="J19" s="178"/>
    </row>
    <row r="20" spans="1:10" ht="21" customHeight="1" x14ac:dyDescent="0.3">
      <c r="A20" s="179"/>
      <c r="B20" s="168"/>
      <c r="C20" s="168"/>
      <c r="D20" s="168"/>
      <c r="F20" s="245" t="s">
        <v>56</v>
      </c>
      <c r="G20" s="240">
        <f>IF($I$17&gt;=$G$3,$I$17,$G$3)</f>
        <v>1629.3</v>
      </c>
      <c r="H20" s="222">
        <v>24.1</v>
      </c>
      <c r="I20" s="289">
        <f>G20*H20%</f>
        <v>392.66130000000004</v>
      </c>
      <c r="J20" s="183"/>
    </row>
    <row r="21" spans="1:10" ht="24.75" customHeight="1" thickBot="1" x14ac:dyDescent="0.35">
      <c r="A21" s="179"/>
      <c r="B21" s="168"/>
      <c r="C21" s="168"/>
      <c r="D21" s="168"/>
      <c r="F21" s="246"/>
      <c r="G21" s="241"/>
      <c r="H21" s="223"/>
      <c r="I21" s="290"/>
      <c r="J21" s="183"/>
    </row>
    <row r="22" spans="1:10" ht="20.25" customHeight="1" x14ac:dyDescent="0.3">
      <c r="A22" s="180"/>
      <c r="B22" s="181"/>
      <c r="C22" s="181"/>
      <c r="D22" s="181"/>
      <c r="F22" s="245" t="s">
        <v>57</v>
      </c>
      <c r="G22" s="240">
        <f>IF($I$17&gt;=$I$3,$I$17,$I$3)</f>
        <v>1166.7</v>
      </c>
      <c r="H22" s="222">
        <v>7.8</v>
      </c>
      <c r="I22" s="240">
        <f>G22*H22%</f>
        <v>91.002600000000001</v>
      </c>
      <c r="J22" s="178"/>
    </row>
    <row r="23" spans="1:10" ht="14.25" customHeight="1" thickBot="1" x14ac:dyDescent="0.35">
      <c r="A23" s="160"/>
      <c r="B23" s="160"/>
      <c r="C23" s="170"/>
      <c r="D23" s="170"/>
      <c r="F23" s="246"/>
      <c r="G23" s="241"/>
      <c r="H23" s="223"/>
      <c r="I23" s="241"/>
      <c r="J23" s="178"/>
    </row>
    <row r="24" spans="1:10" ht="25.5" customHeight="1" thickBot="1" x14ac:dyDescent="0.35">
      <c r="A24" s="160"/>
      <c r="B24" s="160"/>
      <c r="C24" s="170"/>
      <c r="D24" s="170"/>
      <c r="F24" s="260" t="s">
        <v>85</v>
      </c>
      <c r="G24" s="261"/>
      <c r="H24" s="158">
        <f>(H20+H22)</f>
        <v>31.900000000000002</v>
      </c>
      <c r="I24" s="184">
        <f>(I20+I22)</f>
        <v>483.66390000000001</v>
      </c>
      <c r="J24" s="183"/>
    </row>
    <row r="25" spans="1:10" ht="26.25" customHeight="1" x14ac:dyDescent="0.3">
      <c r="A25" s="180"/>
      <c r="B25" s="181"/>
      <c r="C25" s="181"/>
      <c r="D25" s="181"/>
    </row>
    <row r="26" spans="1:10" ht="20.25" customHeight="1" x14ac:dyDescent="0.3">
      <c r="A26" s="160"/>
      <c r="B26" s="160"/>
      <c r="C26" s="182"/>
      <c r="D26" s="182"/>
      <c r="F26" s="288" t="s">
        <v>66</v>
      </c>
      <c r="G26" s="288"/>
      <c r="H26" s="288"/>
      <c r="I26" s="287" t="s">
        <v>65</v>
      </c>
    </row>
    <row r="27" spans="1:10" x14ac:dyDescent="0.3">
      <c r="A27" s="160"/>
      <c r="B27" s="160"/>
      <c r="C27" s="182"/>
      <c r="D27" s="182"/>
      <c r="F27" s="288"/>
      <c r="G27" s="288"/>
      <c r="H27" s="288"/>
      <c r="I27" s="287"/>
    </row>
    <row r="29" spans="1:10" x14ac:dyDescent="0.3">
      <c r="H29" s="159"/>
    </row>
  </sheetData>
  <protectedRanges>
    <protectedRange sqref="I26" name="CALCULO RC"/>
    <protectedRange sqref="C26:D26" name="RET PRACTICAS"/>
    <protectedRange sqref="C23:D23" name="DED"/>
    <protectedRange sqref="I5" name="RET PREDOC_1"/>
    <protectedRange sqref="I17" name="RET PREDOC_2"/>
  </protectedRanges>
  <mergeCells count="31">
    <mergeCell ref="A15:D16"/>
    <mergeCell ref="B18:C18"/>
    <mergeCell ref="F17:H17"/>
    <mergeCell ref="F18:I18"/>
    <mergeCell ref="H20:H21"/>
    <mergeCell ref="G20:G21"/>
    <mergeCell ref="F20:F21"/>
    <mergeCell ref="I26:I27"/>
    <mergeCell ref="F26:H27"/>
    <mergeCell ref="I20:I21"/>
    <mergeCell ref="I22:I23"/>
    <mergeCell ref="F24:G24"/>
    <mergeCell ref="H22:H23"/>
    <mergeCell ref="G22:G23"/>
    <mergeCell ref="F22:F23"/>
    <mergeCell ref="B2:D2"/>
    <mergeCell ref="A1:D1"/>
    <mergeCell ref="F13:G13"/>
    <mergeCell ref="G11:G12"/>
    <mergeCell ref="I1:J1"/>
    <mergeCell ref="G1:H1"/>
    <mergeCell ref="G9:G10"/>
    <mergeCell ref="F5:H5"/>
    <mergeCell ref="F6:I7"/>
    <mergeCell ref="I11:I12"/>
    <mergeCell ref="F9:F10"/>
    <mergeCell ref="F11:F12"/>
    <mergeCell ref="H9:H10"/>
    <mergeCell ref="I9:I10"/>
    <mergeCell ref="H11:H12"/>
    <mergeCell ref="A13:D14"/>
  </mergeCells>
  <hyperlinks>
    <hyperlink ref="I26:I27" r:id="rId1" display="CALCULO RC" xr:uid="{00000000-0004-0000-0200-000000000000}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46"/>
  <sheetViews>
    <sheetView topLeftCell="A25" zoomScaleNormal="100" workbookViewId="0">
      <selection activeCell="A41" sqref="A41:XFD46"/>
    </sheetView>
  </sheetViews>
  <sheetFormatPr baseColWidth="10" defaultColWidth="11.54296875" defaultRowHeight="14" x14ac:dyDescent="0.3"/>
  <cols>
    <col min="1" max="1" width="18.453125" style="4" customWidth="1"/>
    <col min="2" max="2" width="34.81640625" style="68" customWidth="1"/>
    <col min="3" max="3" width="8.984375E-2" style="69" customWidth="1"/>
    <col min="4" max="4" width="26.81640625" style="68" customWidth="1"/>
    <col min="5" max="5" width="18.453125" style="5" customWidth="1"/>
    <col min="6" max="6" width="24.81640625" style="68" customWidth="1"/>
    <col min="7" max="7" width="18.453125" style="68" customWidth="1"/>
    <col min="8" max="8" width="11.54296875" style="5"/>
    <col min="9" max="9" width="17.81640625" style="7" customWidth="1"/>
    <col min="10" max="10" width="20.453125" style="5" customWidth="1"/>
    <col min="11" max="11" width="19.453125" style="5" customWidth="1"/>
    <col min="12" max="12" width="17.453125" style="5" customWidth="1"/>
    <col min="13" max="13" width="15.453125" style="5" customWidth="1"/>
    <col min="14" max="16384" width="11.54296875" style="5"/>
  </cols>
  <sheetData>
    <row r="1" spans="1:16" s="8" customFormat="1" ht="65.25" customHeight="1" x14ac:dyDescent="0.3">
      <c r="A1" s="250" t="s">
        <v>107</v>
      </c>
      <c r="B1" s="251"/>
      <c r="C1" s="251"/>
      <c r="D1" s="251"/>
      <c r="E1" s="251"/>
      <c r="F1" s="251"/>
      <c r="G1" s="251"/>
      <c r="K1" s="19"/>
    </row>
    <row r="2" spans="1:16" s="36" customFormat="1" ht="24.75" customHeight="1" x14ac:dyDescent="0.3">
      <c r="A2" s="44"/>
      <c r="B2" s="295" t="s">
        <v>45</v>
      </c>
      <c r="C2" s="295"/>
      <c r="D2" s="296"/>
      <c r="E2" s="42"/>
      <c r="F2" s="295" t="s">
        <v>46</v>
      </c>
      <c r="G2" s="296"/>
      <c r="I2" s="252" t="s">
        <v>48</v>
      </c>
      <c r="J2" s="252"/>
      <c r="K2" s="252"/>
      <c r="L2" s="252" t="s">
        <v>52</v>
      </c>
      <c r="M2" s="252"/>
      <c r="O2" s="5"/>
      <c r="P2" s="5"/>
    </row>
    <row r="3" spans="1:16" s="27" customFormat="1" ht="40.5" x14ac:dyDescent="0.3">
      <c r="A3" s="43" t="s">
        <v>43</v>
      </c>
      <c r="B3" s="65" t="s">
        <v>44</v>
      </c>
      <c r="C3" s="66" t="s">
        <v>14</v>
      </c>
      <c r="D3" s="67" t="s">
        <v>111</v>
      </c>
      <c r="E3" s="40" t="s">
        <v>43</v>
      </c>
      <c r="F3" s="65" t="s">
        <v>44</v>
      </c>
      <c r="G3" s="67" t="s">
        <v>112</v>
      </c>
      <c r="I3" s="121" t="s">
        <v>47</v>
      </c>
      <c r="J3" s="121" t="s">
        <v>58</v>
      </c>
      <c r="K3" s="121" t="s">
        <v>59</v>
      </c>
      <c r="L3" s="122" t="s">
        <v>50</v>
      </c>
      <c r="M3" s="121" t="s">
        <v>51</v>
      </c>
      <c r="O3" s="5"/>
      <c r="P3" s="5"/>
    </row>
    <row r="4" spans="1:16" ht="15" customHeight="1" x14ac:dyDescent="0.3">
      <c r="A4" s="37">
        <v>37.5</v>
      </c>
      <c r="B4" s="71">
        <f>PARAMETROS!B5</f>
        <v>1681.8991875000002</v>
      </c>
      <c r="C4" s="72"/>
      <c r="D4" s="71"/>
      <c r="E4" s="37">
        <v>37.5</v>
      </c>
      <c r="F4" s="71">
        <f>PARAMETROS!C5</f>
        <v>2186.4684916666665</v>
      </c>
      <c r="G4" s="71">
        <f>IF(F4&gt;$K$4,$K$4*$K$18%,F4*$K$18%)</f>
        <v>699.23262363499998</v>
      </c>
      <c r="I4" s="253">
        <v>1</v>
      </c>
      <c r="J4" s="265">
        <v>1847.4</v>
      </c>
      <c r="K4" s="265">
        <v>4720.5</v>
      </c>
      <c r="L4" s="266">
        <v>1323</v>
      </c>
      <c r="M4" s="266">
        <v>4720.5</v>
      </c>
      <c r="N4" s="8"/>
    </row>
    <row r="5" spans="1:16" ht="15" customHeight="1" x14ac:dyDescent="0.3">
      <c r="A5" s="38">
        <v>36</v>
      </c>
      <c r="B5" s="73">
        <f>PRODUCT(B$4,A5)/A$4</f>
        <v>1614.6232199999999</v>
      </c>
      <c r="C5" s="74">
        <f t="shared" ref="C5:C40" si="0">(A5/$A$4*7.5*5)/7*30*$C$43</f>
        <v>1717.2000000000003</v>
      </c>
      <c r="D5" s="73">
        <f>IF(B5&lt;C5,C5*$K$18%,B5*$K$18%)</f>
        <v>549.16056000000015</v>
      </c>
      <c r="E5" s="38">
        <v>36</v>
      </c>
      <c r="F5" s="73">
        <f>PRODUCT(F$4,E5)/E$4</f>
        <v>2099.0097519999999</v>
      </c>
      <c r="G5" s="73">
        <f t="shared" ref="G5:G40" si="1">IF(F5&gt;$K$4,$K$4*$K$18%,F5*$K$18%)</f>
        <v>671.26331868960006</v>
      </c>
      <c r="I5" s="253"/>
      <c r="J5" s="265"/>
      <c r="K5" s="265"/>
      <c r="L5" s="266"/>
      <c r="M5" s="266"/>
      <c r="N5" s="8"/>
    </row>
    <row r="6" spans="1:16" ht="15" customHeight="1" x14ac:dyDescent="0.3">
      <c r="A6" s="38">
        <v>35</v>
      </c>
      <c r="B6" s="73">
        <f t="shared" ref="B6:B40" si="2">PRODUCT(B$4,A6)/A$4</f>
        <v>1569.772575</v>
      </c>
      <c r="C6" s="74">
        <f t="shared" si="0"/>
        <v>1669.5000000000002</v>
      </c>
      <c r="D6" s="73">
        <f t="shared" ref="D6:D40" si="3">IF(B6&lt;C6,C6*$K$18%,B6*$K$18%)</f>
        <v>533.90610000000015</v>
      </c>
      <c r="E6" s="38">
        <v>35</v>
      </c>
      <c r="F6" s="73">
        <f t="shared" ref="F6:F40" si="4">PRODUCT(F$4,E6)/E$4</f>
        <v>2040.7039255555555</v>
      </c>
      <c r="G6" s="73">
        <f t="shared" si="1"/>
        <v>652.61711539266673</v>
      </c>
      <c r="I6" s="35"/>
      <c r="J6" s="8"/>
      <c r="K6" s="8"/>
      <c r="L6" s="112"/>
      <c r="M6" s="8"/>
      <c r="N6" s="8"/>
    </row>
    <row r="7" spans="1:16" ht="15" customHeight="1" thickBot="1" x14ac:dyDescent="0.35">
      <c r="A7" s="38">
        <v>34</v>
      </c>
      <c r="B7" s="73">
        <f t="shared" si="2"/>
        <v>1524.9219300000002</v>
      </c>
      <c r="C7" s="74">
        <f t="shared" si="0"/>
        <v>1621.8</v>
      </c>
      <c r="D7" s="73">
        <f t="shared" si="3"/>
        <v>518.65164000000004</v>
      </c>
      <c r="E7" s="38">
        <v>34</v>
      </c>
      <c r="F7" s="73">
        <f t="shared" si="4"/>
        <v>1982.3980991111109</v>
      </c>
      <c r="G7" s="73">
        <f t="shared" si="1"/>
        <v>633.9709120957333</v>
      </c>
      <c r="I7" s="35"/>
      <c r="J7" s="19"/>
      <c r="K7" s="8"/>
      <c r="L7" s="112"/>
      <c r="M7" s="8"/>
      <c r="N7" s="8"/>
    </row>
    <row r="8" spans="1:16" ht="15" customHeight="1" x14ac:dyDescent="0.3">
      <c r="A8" s="38">
        <v>33</v>
      </c>
      <c r="B8" s="73">
        <f t="shared" si="2"/>
        <v>1480.0712850000002</v>
      </c>
      <c r="C8" s="74">
        <f t="shared" si="0"/>
        <v>1574.1000000000004</v>
      </c>
      <c r="D8" s="73">
        <f t="shared" si="3"/>
        <v>503.39718000000016</v>
      </c>
      <c r="E8" s="38">
        <v>33</v>
      </c>
      <c r="F8" s="73">
        <f t="shared" si="4"/>
        <v>1924.0922726666663</v>
      </c>
      <c r="G8" s="73">
        <f t="shared" si="1"/>
        <v>615.32470879879997</v>
      </c>
      <c r="I8" s="228" t="s">
        <v>88</v>
      </c>
      <c r="J8" s="228"/>
      <c r="K8" s="229"/>
      <c r="L8" s="232">
        <v>0</v>
      </c>
      <c r="M8" s="8"/>
      <c r="N8" s="8"/>
    </row>
    <row r="9" spans="1:16" ht="15" customHeight="1" thickBot="1" x14ac:dyDescent="0.35">
      <c r="A9" s="38">
        <v>32</v>
      </c>
      <c r="B9" s="73">
        <f t="shared" si="2"/>
        <v>1435.2206400000002</v>
      </c>
      <c r="C9" s="74">
        <f t="shared" si="0"/>
        <v>1526.4</v>
      </c>
      <c r="D9" s="73">
        <f t="shared" si="3"/>
        <v>488.14272000000005</v>
      </c>
      <c r="E9" s="38">
        <v>32</v>
      </c>
      <c r="F9" s="73">
        <f t="shared" si="4"/>
        <v>1865.7864462222221</v>
      </c>
      <c r="G9" s="73">
        <f t="shared" si="1"/>
        <v>596.67850550186665</v>
      </c>
      <c r="I9" s="228"/>
      <c r="J9" s="228"/>
      <c r="K9" s="229"/>
      <c r="L9" s="233"/>
      <c r="M9" s="8"/>
      <c r="N9" s="8"/>
    </row>
    <row r="10" spans="1:16" ht="15" customHeight="1" thickBot="1" x14ac:dyDescent="0.35">
      <c r="A10" s="38">
        <v>31</v>
      </c>
      <c r="B10" s="73">
        <f t="shared" si="2"/>
        <v>1390.3699950000002</v>
      </c>
      <c r="C10" s="74">
        <f t="shared" si="0"/>
        <v>1478.7</v>
      </c>
      <c r="D10" s="73">
        <f t="shared" si="3"/>
        <v>472.88826000000006</v>
      </c>
      <c r="E10" s="38">
        <v>31</v>
      </c>
      <c r="F10" s="73">
        <f t="shared" si="4"/>
        <v>1807.4806197777777</v>
      </c>
      <c r="G10" s="73">
        <f t="shared" si="1"/>
        <v>578.03230220493333</v>
      </c>
      <c r="I10" s="117"/>
      <c r="J10" s="118"/>
      <c r="K10" s="119"/>
      <c r="L10" s="120"/>
      <c r="M10" s="8"/>
      <c r="N10" s="8"/>
    </row>
    <row r="11" spans="1:16" ht="15" customHeight="1" x14ac:dyDescent="0.3">
      <c r="A11" s="38">
        <v>30</v>
      </c>
      <c r="B11" s="73">
        <f t="shared" si="2"/>
        <v>1345.5193500000003</v>
      </c>
      <c r="C11" s="74">
        <f t="shared" si="0"/>
        <v>1431</v>
      </c>
      <c r="D11" s="73">
        <f t="shared" si="3"/>
        <v>457.63380000000006</v>
      </c>
      <c r="E11" s="38">
        <v>30</v>
      </c>
      <c r="F11" s="73">
        <f t="shared" si="4"/>
        <v>1749.1747933333331</v>
      </c>
      <c r="G11" s="73">
        <f t="shared" si="1"/>
        <v>559.38609890800001</v>
      </c>
      <c r="I11" s="234" t="s">
        <v>60</v>
      </c>
      <c r="J11" s="235"/>
      <c r="K11" s="235"/>
      <c r="L11" s="236"/>
      <c r="M11" s="8"/>
      <c r="N11" s="8"/>
    </row>
    <row r="12" spans="1:16" ht="15" customHeight="1" thickBot="1" x14ac:dyDescent="0.35">
      <c r="A12" s="38">
        <v>29</v>
      </c>
      <c r="B12" s="73">
        <f t="shared" si="2"/>
        <v>1300.6687050000003</v>
      </c>
      <c r="C12" s="74">
        <f t="shared" si="0"/>
        <v>1383.3000000000002</v>
      </c>
      <c r="D12" s="73">
        <f t="shared" si="3"/>
        <v>442.37934000000007</v>
      </c>
      <c r="E12" s="38">
        <v>29</v>
      </c>
      <c r="F12" s="73">
        <f t="shared" si="4"/>
        <v>1690.8689668888887</v>
      </c>
      <c r="G12" s="73">
        <f t="shared" si="1"/>
        <v>540.73989561106669</v>
      </c>
      <c r="I12" s="237"/>
      <c r="J12" s="238"/>
      <c r="K12" s="238"/>
      <c r="L12" s="239"/>
      <c r="M12" s="8"/>
      <c r="N12" s="8"/>
    </row>
    <row r="13" spans="1:16" ht="15" customHeight="1" thickBot="1" x14ac:dyDescent="0.35">
      <c r="A13" s="38">
        <v>28</v>
      </c>
      <c r="B13" s="73">
        <f t="shared" si="2"/>
        <v>1255.8180600000003</v>
      </c>
      <c r="C13" s="74">
        <f t="shared" si="0"/>
        <v>1335.6000000000004</v>
      </c>
      <c r="D13" s="73">
        <f t="shared" si="3"/>
        <v>427.12488000000013</v>
      </c>
      <c r="E13" s="38">
        <v>28</v>
      </c>
      <c r="F13" s="73">
        <f t="shared" si="4"/>
        <v>1632.5631404444443</v>
      </c>
      <c r="G13" s="73">
        <f t="shared" si="1"/>
        <v>522.09369231413336</v>
      </c>
      <c r="I13" s="114"/>
      <c r="J13" s="132" t="s">
        <v>53</v>
      </c>
      <c r="K13" s="130" t="s">
        <v>54</v>
      </c>
      <c r="L13" s="139" t="s">
        <v>55</v>
      </c>
      <c r="M13" s="8"/>
      <c r="N13" s="8"/>
    </row>
    <row r="14" spans="1:16" ht="15" customHeight="1" x14ac:dyDescent="0.3">
      <c r="A14" s="38">
        <v>27</v>
      </c>
      <c r="B14" s="73">
        <f t="shared" si="2"/>
        <v>1210.9674150000001</v>
      </c>
      <c r="C14" s="74">
        <f t="shared" si="0"/>
        <v>1287.9000000000001</v>
      </c>
      <c r="D14" s="73">
        <f t="shared" si="3"/>
        <v>411.87042000000008</v>
      </c>
      <c r="E14" s="38">
        <v>27</v>
      </c>
      <c r="F14" s="73">
        <f t="shared" si="4"/>
        <v>1574.257314</v>
      </c>
      <c r="G14" s="73">
        <f t="shared" si="1"/>
        <v>503.44748901720004</v>
      </c>
      <c r="I14" s="262" t="s">
        <v>56</v>
      </c>
      <c r="J14" s="240">
        <f>IF(L8&gt;=J4,L8,J4)</f>
        <v>1847.4</v>
      </c>
      <c r="K14" s="242">
        <v>24.18</v>
      </c>
      <c r="L14" s="247">
        <f>J14*K14%</f>
        <v>446.70132000000001</v>
      </c>
      <c r="M14" s="8"/>
      <c r="N14" s="8"/>
    </row>
    <row r="15" spans="1:16" ht="15" customHeight="1" thickBot="1" x14ac:dyDescent="0.35">
      <c r="A15" s="38">
        <v>26</v>
      </c>
      <c r="B15" s="73">
        <f t="shared" si="2"/>
        <v>1166.1167700000001</v>
      </c>
      <c r="C15" s="74">
        <f t="shared" si="0"/>
        <v>1240.2</v>
      </c>
      <c r="D15" s="73">
        <f t="shared" si="3"/>
        <v>396.61596000000003</v>
      </c>
      <c r="E15" s="38">
        <v>26</v>
      </c>
      <c r="F15" s="73">
        <f t="shared" si="4"/>
        <v>1515.9514875555556</v>
      </c>
      <c r="G15" s="73">
        <f t="shared" si="1"/>
        <v>484.80128572026672</v>
      </c>
      <c r="I15" s="263"/>
      <c r="J15" s="241"/>
      <c r="K15" s="243"/>
      <c r="L15" s="248"/>
      <c r="M15" s="8"/>
      <c r="N15" s="8"/>
    </row>
    <row r="16" spans="1:16" ht="15" customHeight="1" x14ac:dyDescent="0.3">
      <c r="A16" s="38">
        <v>25</v>
      </c>
      <c r="B16" s="73">
        <f t="shared" si="2"/>
        <v>1121.2661250000001</v>
      </c>
      <c r="C16" s="74">
        <f t="shared" si="0"/>
        <v>1192.5000000000002</v>
      </c>
      <c r="D16" s="73">
        <f t="shared" si="3"/>
        <v>381.36150000000009</v>
      </c>
      <c r="E16" s="38">
        <v>25</v>
      </c>
      <c r="F16" s="73">
        <f t="shared" si="4"/>
        <v>1457.6456611111109</v>
      </c>
      <c r="G16" s="73">
        <f t="shared" si="1"/>
        <v>466.15508242333334</v>
      </c>
      <c r="I16" s="245" t="s">
        <v>57</v>
      </c>
      <c r="J16" s="240">
        <f>IF(L8&gt;=L4,L8,L4)</f>
        <v>1323</v>
      </c>
      <c r="K16" s="242">
        <v>7.8</v>
      </c>
      <c r="L16" s="226">
        <f>J16*K16%</f>
        <v>103.194</v>
      </c>
      <c r="M16" s="8"/>
      <c r="N16" s="8"/>
    </row>
    <row r="17" spans="1:14" ht="15" customHeight="1" thickBot="1" x14ac:dyDescent="0.35">
      <c r="A17" s="38">
        <v>24</v>
      </c>
      <c r="B17" s="73">
        <f t="shared" si="2"/>
        <v>1076.4154800000001</v>
      </c>
      <c r="C17" s="74">
        <f t="shared" si="0"/>
        <v>1144.8</v>
      </c>
      <c r="D17" s="73">
        <f t="shared" si="3"/>
        <v>366.10704000000004</v>
      </c>
      <c r="E17" s="38">
        <v>24</v>
      </c>
      <c r="F17" s="73">
        <f t="shared" si="4"/>
        <v>1399.3398346666665</v>
      </c>
      <c r="G17" s="73">
        <f t="shared" si="1"/>
        <v>447.50887912640002</v>
      </c>
      <c r="I17" s="246"/>
      <c r="J17" s="241"/>
      <c r="K17" s="243">
        <v>0.2</v>
      </c>
      <c r="L17" s="244"/>
      <c r="M17" s="8"/>
      <c r="N17" s="8"/>
    </row>
    <row r="18" spans="1:14" ht="16.5" customHeight="1" thickBot="1" x14ac:dyDescent="0.35">
      <c r="A18" s="38">
        <v>23</v>
      </c>
      <c r="B18" s="73">
        <f t="shared" si="2"/>
        <v>1031.5648350000001</v>
      </c>
      <c r="C18" s="74">
        <f t="shared" si="0"/>
        <v>1097.1000000000001</v>
      </c>
      <c r="D18" s="73">
        <f t="shared" si="3"/>
        <v>350.8525800000001</v>
      </c>
      <c r="E18" s="38">
        <v>23</v>
      </c>
      <c r="F18" s="73">
        <f t="shared" si="4"/>
        <v>1341.0340082222222</v>
      </c>
      <c r="G18" s="73">
        <f t="shared" si="1"/>
        <v>428.8626758294667</v>
      </c>
      <c r="I18" s="260" t="s">
        <v>61</v>
      </c>
      <c r="J18" s="261"/>
      <c r="K18" s="131">
        <f>(K14+K16)</f>
        <v>31.98</v>
      </c>
      <c r="L18" s="127">
        <f>SUM(L14:L17)</f>
        <v>549.89531999999997</v>
      </c>
      <c r="M18" s="8"/>
      <c r="N18" s="8"/>
    </row>
    <row r="19" spans="1:14" ht="15" customHeight="1" x14ac:dyDescent="0.3">
      <c r="A19" s="38">
        <v>22</v>
      </c>
      <c r="B19" s="73">
        <f t="shared" si="2"/>
        <v>986.71419000000014</v>
      </c>
      <c r="C19" s="74">
        <f t="shared" si="0"/>
        <v>1049.4000000000001</v>
      </c>
      <c r="D19" s="73">
        <f t="shared" si="3"/>
        <v>335.59812000000005</v>
      </c>
      <c r="E19" s="38">
        <v>22</v>
      </c>
      <c r="F19" s="73">
        <f t="shared" si="4"/>
        <v>1282.7281817777778</v>
      </c>
      <c r="G19" s="73">
        <f t="shared" si="1"/>
        <v>410.21647253253337</v>
      </c>
      <c r="I19" s="123"/>
      <c r="J19" s="124"/>
      <c r="K19" s="125"/>
      <c r="L19" s="126"/>
      <c r="M19" s="8"/>
      <c r="N19" s="8"/>
    </row>
    <row r="20" spans="1:14" ht="15" customHeight="1" x14ac:dyDescent="0.3">
      <c r="A20" s="38">
        <v>21</v>
      </c>
      <c r="B20" s="73">
        <f t="shared" si="2"/>
        <v>941.86354500000016</v>
      </c>
      <c r="C20" s="74">
        <f t="shared" si="0"/>
        <v>1001.7</v>
      </c>
      <c r="D20" s="73">
        <f t="shared" si="3"/>
        <v>320.34366000000006</v>
      </c>
      <c r="E20" s="38">
        <v>21</v>
      </c>
      <c r="F20" s="73">
        <f t="shared" si="4"/>
        <v>1224.4223553333331</v>
      </c>
      <c r="G20" s="73">
        <f t="shared" si="1"/>
        <v>391.57026923559999</v>
      </c>
      <c r="I20" s="264" t="s">
        <v>76</v>
      </c>
      <c r="J20" s="264"/>
      <c r="K20" s="264"/>
      <c r="L20" s="264"/>
      <c r="M20" s="264"/>
      <c r="N20" s="264"/>
    </row>
    <row r="21" spans="1:14" ht="15" customHeight="1" x14ac:dyDescent="0.3">
      <c r="A21" s="38">
        <v>20</v>
      </c>
      <c r="B21" s="73">
        <f t="shared" si="2"/>
        <v>897.01289999999995</v>
      </c>
      <c r="C21" s="74">
        <f t="shared" si="0"/>
        <v>954.00000000000011</v>
      </c>
      <c r="D21" s="73">
        <f t="shared" si="3"/>
        <v>305.08920000000006</v>
      </c>
      <c r="E21" s="38">
        <v>20</v>
      </c>
      <c r="F21" s="73">
        <f t="shared" si="4"/>
        <v>1166.1165288888888</v>
      </c>
      <c r="G21" s="73">
        <f t="shared" si="1"/>
        <v>372.92406593866667</v>
      </c>
      <c r="I21" s="264"/>
      <c r="J21" s="264"/>
      <c r="K21" s="264"/>
      <c r="L21" s="264"/>
      <c r="M21" s="264"/>
      <c r="N21" s="264"/>
    </row>
    <row r="22" spans="1:14" ht="15" customHeight="1" thickBot="1" x14ac:dyDescent="0.35">
      <c r="A22" s="38">
        <v>19</v>
      </c>
      <c r="B22" s="73">
        <f t="shared" si="2"/>
        <v>852.16225500000007</v>
      </c>
      <c r="C22" s="74">
        <f t="shared" si="0"/>
        <v>906.30000000000007</v>
      </c>
      <c r="D22" s="73">
        <f t="shared" si="3"/>
        <v>289.83474000000007</v>
      </c>
      <c r="E22" s="38">
        <v>19</v>
      </c>
      <c r="F22" s="73">
        <f t="shared" si="4"/>
        <v>1107.8107024444444</v>
      </c>
      <c r="G22" s="73">
        <f t="shared" si="1"/>
        <v>354.27786264173335</v>
      </c>
      <c r="I22" s="35"/>
      <c r="J22" s="19"/>
      <c r="K22" s="8"/>
      <c r="L22" s="112"/>
      <c r="M22" s="8"/>
      <c r="N22" s="8"/>
    </row>
    <row r="23" spans="1:14" ht="15" customHeight="1" x14ac:dyDescent="0.3">
      <c r="A23" s="38">
        <v>18</v>
      </c>
      <c r="B23" s="73">
        <f t="shared" si="2"/>
        <v>807.31160999999997</v>
      </c>
      <c r="C23" s="74">
        <f t="shared" si="0"/>
        <v>858.60000000000014</v>
      </c>
      <c r="D23" s="73">
        <f t="shared" si="3"/>
        <v>274.58028000000007</v>
      </c>
      <c r="E23" s="38">
        <v>18</v>
      </c>
      <c r="F23" s="73">
        <f t="shared" si="4"/>
        <v>1049.504876</v>
      </c>
      <c r="G23" s="73">
        <f t="shared" si="1"/>
        <v>335.63165934480003</v>
      </c>
      <c r="I23" s="228" t="s">
        <v>62</v>
      </c>
      <c r="J23" s="228"/>
      <c r="K23" s="229"/>
      <c r="L23" s="230"/>
      <c r="M23" s="8"/>
      <c r="N23" s="8"/>
    </row>
    <row r="24" spans="1:14" ht="15" customHeight="1" thickBot="1" x14ac:dyDescent="0.35">
      <c r="A24" s="38">
        <v>17</v>
      </c>
      <c r="B24" s="73">
        <f t="shared" si="2"/>
        <v>762.4609650000001</v>
      </c>
      <c r="C24" s="74">
        <f t="shared" si="0"/>
        <v>810.9</v>
      </c>
      <c r="D24" s="73">
        <f t="shared" si="3"/>
        <v>259.32582000000002</v>
      </c>
      <c r="E24" s="38">
        <v>17</v>
      </c>
      <c r="F24" s="73">
        <f t="shared" si="4"/>
        <v>991.19904955555546</v>
      </c>
      <c r="G24" s="73">
        <f t="shared" si="1"/>
        <v>316.98545604786665</v>
      </c>
      <c r="I24" s="228"/>
      <c r="J24" s="228"/>
      <c r="K24" s="229"/>
      <c r="L24" s="231"/>
      <c r="M24" s="8"/>
      <c r="N24" s="8"/>
    </row>
    <row r="25" spans="1:14" ht="15" customHeight="1" thickBot="1" x14ac:dyDescent="0.35">
      <c r="A25" s="38">
        <v>16</v>
      </c>
      <c r="B25" s="73">
        <f t="shared" si="2"/>
        <v>717.61032000000012</v>
      </c>
      <c r="C25" s="74">
        <f t="shared" si="0"/>
        <v>763.2</v>
      </c>
      <c r="D25" s="73">
        <f t="shared" si="3"/>
        <v>244.07136000000003</v>
      </c>
      <c r="E25" s="38">
        <v>16</v>
      </c>
      <c r="F25" s="73">
        <f t="shared" si="4"/>
        <v>932.89322311111107</v>
      </c>
      <c r="G25" s="73">
        <f t="shared" si="1"/>
        <v>298.33925275093333</v>
      </c>
      <c r="I25" s="35"/>
      <c r="J25" s="19"/>
      <c r="K25" s="8"/>
      <c r="L25" s="112"/>
      <c r="M25" s="8"/>
      <c r="N25" s="8"/>
    </row>
    <row r="26" spans="1:14" ht="15" customHeight="1" x14ac:dyDescent="0.3">
      <c r="A26" s="38">
        <v>15</v>
      </c>
      <c r="B26" s="73">
        <f t="shared" si="2"/>
        <v>672.75967500000013</v>
      </c>
      <c r="C26" s="74">
        <f t="shared" si="0"/>
        <v>715.5</v>
      </c>
      <c r="D26" s="73">
        <f t="shared" si="3"/>
        <v>228.81690000000003</v>
      </c>
      <c r="E26" s="38">
        <v>15</v>
      </c>
      <c r="F26" s="73">
        <f t="shared" si="4"/>
        <v>874.58739666666656</v>
      </c>
      <c r="G26" s="73">
        <f t="shared" si="1"/>
        <v>279.693049454</v>
      </c>
      <c r="I26" s="228" t="s">
        <v>67</v>
      </c>
      <c r="J26" s="228"/>
      <c r="K26" s="229"/>
      <c r="L26" s="297"/>
      <c r="M26" s="8"/>
      <c r="N26" s="8"/>
    </row>
    <row r="27" spans="1:14" ht="15" customHeight="1" thickBot="1" x14ac:dyDescent="0.35">
      <c r="A27" s="38">
        <v>14</v>
      </c>
      <c r="B27" s="73">
        <f t="shared" si="2"/>
        <v>627.90903000000014</v>
      </c>
      <c r="C27" s="74">
        <f t="shared" si="0"/>
        <v>667.80000000000018</v>
      </c>
      <c r="D27" s="73">
        <f t="shared" si="3"/>
        <v>213.56244000000007</v>
      </c>
      <c r="E27" s="38">
        <v>14</v>
      </c>
      <c r="F27" s="73">
        <f t="shared" si="4"/>
        <v>816.28157022222217</v>
      </c>
      <c r="G27" s="73">
        <f t="shared" si="1"/>
        <v>261.04684615706668</v>
      </c>
      <c r="I27" s="228"/>
      <c r="J27" s="228"/>
      <c r="K27" s="229"/>
      <c r="L27" s="298"/>
      <c r="M27" s="8"/>
      <c r="N27" s="8"/>
    </row>
    <row r="28" spans="1:14" ht="15" customHeight="1" thickBot="1" x14ac:dyDescent="0.35">
      <c r="A28" s="38">
        <v>13</v>
      </c>
      <c r="B28" s="73">
        <f t="shared" si="2"/>
        <v>583.05838500000004</v>
      </c>
      <c r="C28" s="74">
        <f t="shared" si="0"/>
        <v>620.1</v>
      </c>
      <c r="D28" s="73">
        <f t="shared" si="3"/>
        <v>198.30798000000001</v>
      </c>
      <c r="E28" s="38">
        <v>13</v>
      </c>
      <c r="F28" s="73">
        <f t="shared" si="4"/>
        <v>757.97574377777778</v>
      </c>
      <c r="G28" s="73">
        <f t="shared" si="1"/>
        <v>242.40064286013336</v>
      </c>
      <c r="I28" s="35"/>
      <c r="J28" s="19"/>
      <c r="K28" s="8"/>
      <c r="L28" s="112"/>
      <c r="M28" s="8"/>
      <c r="N28" s="8"/>
    </row>
    <row r="29" spans="1:14" ht="15" customHeight="1" x14ac:dyDescent="0.3">
      <c r="A29" s="38">
        <v>12</v>
      </c>
      <c r="B29" s="73">
        <f t="shared" si="2"/>
        <v>538.20774000000006</v>
      </c>
      <c r="C29" s="74">
        <f t="shared" si="0"/>
        <v>572.4</v>
      </c>
      <c r="D29" s="73">
        <f t="shared" si="3"/>
        <v>183.05352000000002</v>
      </c>
      <c r="E29" s="38">
        <v>12</v>
      </c>
      <c r="F29" s="73">
        <f t="shared" si="4"/>
        <v>699.66991733333327</v>
      </c>
      <c r="G29" s="73">
        <f t="shared" si="1"/>
        <v>223.75443956320001</v>
      </c>
      <c r="I29" s="234" t="s">
        <v>63</v>
      </c>
      <c r="J29" s="235"/>
      <c r="K29" s="235"/>
      <c r="L29" s="236"/>
      <c r="M29" s="8"/>
      <c r="N29" s="8"/>
    </row>
    <row r="30" spans="1:14" ht="15" customHeight="1" thickBot="1" x14ac:dyDescent="0.35">
      <c r="A30" s="38">
        <v>11</v>
      </c>
      <c r="B30" s="73">
        <f t="shared" si="2"/>
        <v>493.35709500000007</v>
      </c>
      <c r="C30" s="74">
        <f t="shared" si="0"/>
        <v>524.70000000000005</v>
      </c>
      <c r="D30" s="73">
        <f t="shared" si="3"/>
        <v>167.79906000000003</v>
      </c>
      <c r="E30" s="38">
        <v>11</v>
      </c>
      <c r="F30" s="73">
        <f t="shared" si="4"/>
        <v>641.36409088888888</v>
      </c>
      <c r="G30" s="73">
        <f t="shared" si="1"/>
        <v>205.10823626626669</v>
      </c>
      <c r="I30" s="237"/>
      <c r="J30" s="238"/>
      <c r="K30" s="238"/>
      <c r="L30" s="239"/>
      <c r="M30" s="8"/>
      <c r="N30" s="8"/>
    </row>
    <row r="31" spans="1:14" ht="15" customHeight="1" thickBot="1" x14ac:dyDescent="0.35">
      <c r="A31" s="38">
        <v>10</v>
      </c>
      <c r="B31" s="73">
        <f t="shared" si="2"/>
        <v>448.50644999999997</v>
      </c>
      <c r="C31" s="74">
        <f t="shared" si="0"/>
        <v>477.00000000000006</v>
      </c>
      <c r="D31" s="73">
        <f t="shared" si="3"/>
        <v>152.54460000000003</v>
      </c>
      <c r="E31" s="38">
        <v>10</v>
      </c>
      <c r="F31" s="73">
        <f t="shared" si="4"/>
        <v>583.05826444444438</v>
      </c>
      <c r="G31" s="73">
        <f t="shared" si="1"/>
        <v>186.46203296933334</v>
      </c>
      <c r="I31" s="134" t="s">
        <v>68</v>
      </c>
      <c r="J31" s="132" t="s">
        <v>53</v>
      </c>
      <c r="K31" s="130" t="s">
        <v>69</v>
      </c>
      <c r="L31" s="116" t="s">
        <v>55</v>
      </c>
      <c r="M31" s="8"/>
      <c r="N31" s="8"/>
    </row>
    <row r="32" spans="1:14" ht="15" customHeight="1" x14ac:dyDescent="0.3">
      <c r="A32" s="38">
        <v>9</v>
      </c>
      <c r="B32" s="73">
        <f t="shared" si="2"/>
        <v>403.65580499999999</v>
      </c>
      <c r="C32" s="74">
        <f t="shared" si="0"/>
        <v>429.30000000000007</v>
      </c>
      <c r="D32" s="73">
        <f t="shared" si="3"/>
        <v>137.29014000000004</v>
      </c>
      <c r="E32" s="38">
        <v>9</v>
      </c>
      <c r="F32" s="73">
        <f t="shared" si="4"/>
        <v>524.75243799999998</v>
      </c>
      <c r="G32" s="73">
        <f t="shared" si="1"/>
        <v>167.81582967240001</v>
      </c>
      <c r="I32" s="220">
        <f>((L23/37.5*7.5*5)/7)*30*$C$43</f>
        <v>0</v>
      </c>
      <c r="J32" s="222">
        <f>IF(L26&lt;I32,I32,L26)</f>
        <v>0</v>
      </c>
      <c r="K32" s="224">
        <v>31.98</v>
      </c>
      <c r="L32" s="226">
        <f>J32*K32%</f>
        <v>0</v>
      </c>
      <c r="M32" s="8"/>
      <c r="N32" s="8"/>
    </row>
    <row r="33" spans="1:14" ht="15" customHeight="1" thickBot="1" x14ac:dyDescent="0.35">
      <c r="A33" s="38">
        <v>8</v>
      </c>
      <c r="B33" s="73">
        <f t="shared" si="2"/>
        <v>358.80516000000006</v>
      </c>
      <c r="C33" s="74">
        <f t="shared" si="0"/>
        <v>381.6</v>
      </c>
      <c r="D33" s="73">
        <f t="shared" si="3"/>
        <v>122.03568000000001</v>
      </c>
      <c r="E33" s="38">
        <v>8</v>
      </c>
      <c r="F33" s="73">
        <f t="shared" si="4"/>
        <v>466.44661155555553</v>
      </c>
      <c r="G33" s="73">
        <f t="shared" si="1"/>
        <v>149.16962637546666</v>
      </c>
      <c r="I33" s="221"/>
      <c r="J33" s="223"/>
      <c r="K33" s="225"/>
      <c r="L33" s="227"/>
      <c r="M33" s="8"/>
      <c r="N33" s="8"/>
    </row>
    <row r="34" spans="1:14" ht="15" customHeight="1" thickBot="1" x14ac:dyDescent="0.35">
      <c r="A34" s="38">
        <v>7</v>
      </c>
      <c r="B34" s="73">
        <f t="shared" si="2"/>
        <v>313.95451500000007</v>
      </c>
      <c r="C34" s="74">
        <f t="shared" si="0"/>
        <v>333.90000000000009</v>
      </c>
      <c r="D34" s="73">
        <f t="shared" si="3"/>
        <v>106.78122000000003</v>
      </c>
      <c r="E34" s="38">
        <v>7</v>
      </c>
      <c r="F34" s="73">
        <f t="shared" si="4"/>
        <v>408.14078511111109</v>
      </c>
      <c r="G34" s="73">
        <f t="shared" si="1"/>
        <v>130.52342307853334</v>
      </c>
      <c r="I34" s="215" t="s">
        <v>64</v>
      </c>
      <c r="J34" s="216"/>
      <c r="K34" s="217"/>
      <c r="L34" s="127">
        <f>SUM(L32)</f>
        <v>0</v>
      </c>
      <c r="M34" s="8"/>
      <c r="N34" s="8"/>
    </row>
    <row r="35" spans="1:14" ht="15" customHeight="1" x14ac:dyDescent="0.3">
      <c r="A35" s="38">
        <v>6</v>
      </c>
      <c r="B35" s="73">
        <f t="shared" si="2"/>
        <v>269.10387000000003</v>
      </c>
      <c r="C35" s="74">
        <f t="shared" si="0"/>
        <v>286.2</v>
      </c>
      <c r="D35" s="73">
        <f t="shared" si="3"/>
        <v>91.52676000000001</v>
      </c>
      <c r="E35" s="38">
        <v>6</v>
      </c>
      <c r="F35" s="73">
        <f t="shared" si="4"/>
        <v>349.83495866666664</v>
      </c>
      <c r="G35" s="73">
        <f t="shared" si="1"/>
        <v>111.8772197816</v>
      </c>
      <c r="I35" s="35"/>
      <c r="J35" s="19"/>
      <c r="K35" s="8"/>
      <c r="L35" s="112"/>
      <c r="M35" s="8"/>
      <c r="N35" s="133"/>
    </row>
    <row r="36" spans="1:14" ht="15" customHeight="1" x14ac:dyDescent="0.3">
      <c r="A36" s="38">
        <v>5</v>
      </c>
      <c r="B36" s="73">
        <f t="shared" si="2"/>
        <v>224.25322499999999</v>
      </c>
      <c r="C36" s="74">
        <f t="shared" si="0"/>
        <v>238.50000000000003</v>
      </c>
      <c r="D36" s="73">
        <f t="shared" si="3"/>
        <v>76.272300000000016</v>
      </c>
      <c r="E36" s="38">
        <v>5</v>
      </c>
      <c r="F36" s="73">
        <f t="shared" si="4"/>
        <v>291.52913222222219</v>
      </c>
      <c r="G36" s="73">
        <f t="shared" si="1"/>
        <v>93.231016484666668</v>
      </c>
      <c r="I36" s="218" t="s">
        <v>66</v>
      </c>
      <c r="J36" s="218"/>
      <c r="K36" s="218"/>
      <c r="L36" s="218"/>
      <c r="M36" s="219" t="s">
        <v>98</v>
      </c>
      <c r="N36" s="133"/>
    </row>
    <row r="37" spans="1:14" ht="15" customHeight="1" x14ac:dyDescent="0.3">
      <c r="A37" s="38">
        <v>4</v>
      </c>
      <c r="B37" s="73">
        <f t="shared" si="2"/>
        <v>179.40258000000003</v>
      </c>
      <c r="C37" s="74">
        <f t="shared" si="0"/>
        <v>190.8</v>
      </c>
      <c r="D37" s="73">
        <f t="shared" si="3"/>
        <v>61.017840000000007</v>
      </c>
      <c r="E37" s="38">
        <v>4</v>
      </c>
      <c r="F37" s="73">
        <f t="shared" si="4"/>
        <v>233.22330577777777</v>
      </c>
      <c r="G37" s="73">
        <f t="shared" si="1"/>
        <v>74.584813187733332</v>
      </c>
      <c r="I37" s="218"/>
      <c r="J37" s="218"/>
      <c r="K37" s="218"/>
      <c r="L37" s="218"/>
      <c r="M37" s="219"/>
      <c r="N37" s="133"/>
    </row>
    <row r="38" spans="1:14" ht="15" customHeight="1" x14ac:dyDescent="0.3">
      <c r="A38" s="38">
        <v>3</v>
      </c>
      <c r="B38" s="73">
        <f t="shared" si="2"/>
        <v>134.55193500000001</v>
      </c>
      <c r="C38" s="74">
        <f t="shared" si="0"/>
        <v>143.1</v>
      </c>
      <c r="D38" s="73">
        <f t="shared" si="3"/>
        <v>45.763380000000005</v>
      </c>
      <c r="E38" s="38">
        <v>3</v>
      </c>
      <c r="F38" s="73">
        <f t="shared" si="4"/>
        <v>174.91747933333332</v>
      </c>
      <c r="G38" s="73">
        <f t="shared" si="1"/>
        <v>55.938609890800002</v>
      </c>
      <c r="I38" s="5"/>
    </row>
    <row r="39" spans="1:14" ht="15" customHeight="1" x14ac:dyDescent="0.3">
      <c r="A39" s="38">
        <v>2</v>
      </c>
      <c r="B39" s="73">
        <f t="shared" si="2"/>
        <v>89.701290000000014</v>
      </c>
      <c r="C39" s="74">
        <f t="shared" si="0"/>
        <v>95.4</v>
      </c>
      <c r="D39" s="73">
        <f t="shared" si="3"/>
        <v>30.508920000000003</v>
      </c>
      <c r="E39" s="38">
        <v>2</v>
      </c>
      <c r="F39" s="73">
        <f t="shared" si="4"/>
        <v>116.61165288888888</v>
      </c>
      <c r="G39" s="73">
        <f t="shared" si="1"/>
        <v>37.292406593866666</v>
      </c>
      <c r="I39" s="5"/>
    </row>
    <row r="40" spans="1:14" ht="15" customHeight="1" x14ac:dyDescent="0.3">
      <c r="A40" s="39">
        <v>1</v>
      </c>
      <c r="B40" s="75">
        <f t="shared" si="2"/>
        <v>44.850645000000007</v>
      </c>
      <c r="C40" s="76">
        <f t="shared" si="0"/>
        <v>47.7</v>
      </c>
      <c r="D40" s="75">
        <f t="shared" si="3"/>
        <v>15.254460000000002</v>
      </c>
      <c r="E40" s="39">
        <v>1</v>
      </c>
      <c r="F40" s="75">
        <f t="shared" si="4"/>
        <v>58.305826444444442</v>
      </c>
      <c r="G40" s="75">
        <f t="shared" si="1"/>
        <v>18.646203296933333</v>
      </c>
      <c r="I40" s="5"/>
    </row>
    <row r="41" spans="1:14" hidden="1" x14ac:dyDescent="0.3"/>
    <row r="42" spans="1:14" ht="14.5" hidden="1" thickBot="1" x14ac:dyDescent="0.35">
      <c r="C42" s="208" t="s">
        <v>94</v>
      </c>
    </row>
    <row r="43" spans="1:14" s="21" customFormat="1" ht="31.5" hidden="1" customHeight="1" thickBot="1" x14ac:dyDescent="0.3">
      <c r="A43" s="187"/>
      <c r="B43" s="203" t="s">
        <v>13</v>
      </c>
      <c r="C43" s="204">
        <v>11.13</v>
      </c>
      <c r="D43" s="188"/>
      <c r="E43" s="189"/>
      <c r="F43" s="188"/>
      <c r="G43" s="188"/>
      <c r="I43" s="190"/>
    </row>
    <row r="44" spans="1:14" hidden="1" x14ac:dyDescent="0.3"/>
    <row r="45" spans="1:14" hidden="1" x14ac:dyDescent="0.3"/>
    <row r="46" spans="1:14" hidden="1" x14ac:dyDescent="0.3"/>
  </sheetData>
  <sheetProtection algorithmName="SHA-512" hashValue="pPRewrhYkAWScBAAHxyNKw+KakOxBiTqBSn5WgQS/Hx7cswPKAgnbqjUxYzotlRZ6GKJ9uG+V4UoPHd/LOxfOQ==" saltValue="fEDyDQGs7nsBJEm16ofKpw==" spinCount="100000" sheet="1" objects="1" scenarios="1"/>
  <protectedRanges>
    <protectedRange sqref="M36" name="CALCULO RC"/>
    <protectedRange sqref="L23" name="DED_1"/>
    <protectedRange sqref="L8" name="RET TC_2"/>
    <protectedRange sqref="L26" name="RET TP_1"/>
  </protectedRanges>
  <mergeCells count="35">
    <mergeCell ref="I34:K34"/>
    <mergeCell ref="I36:L37"/>
    <mergeCell ref="M36:M37"/>
    <mergeCell ref="I29:L30"/>
    <mergeCell ref="I32:I33"/>
    <mergeCell ref="J32:J33"/>
    <mergeCell ref="K32:K33"/>
    <mergeCell ref="L32:L33"/>
    <mergeCell ref="I20:N21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A1:G1"/>
    <mergeCell ref="B2:D2"/>
    <mergeCell ref="F2:G2"/>
    <mergeCell ref="I2:K2"/>
    <mergeCell ref="L2:M2"/>
  </mergeCells>
  <hyperlinks>
    <hyperlink ref="M36:M37" r:id="rId1" display="CALCULO RC E INDEMNIZACION" xr:uid="{00000000-0004-0000-0300-000000000000}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47"/>
  <sheetViews>
    <sheetView topLeftCell="D19" zoomScaleNormal="100" workbookViewId="0">
      <selection activeCell="A41" sqref="A41:XFD47"/>
    </sheetView>
  </sheetViews>
  <sheetFormatPr baseColWidth="10" defaultColWidth="11.54296875" defaultRowHeight="14" x14ac:dyDescent="0.3"/>
  <cols>
    <col min="1" max="1" width="18.453125" style="4" customWidth="1"/>
    <col min="2" max="2" width="44.453125" style="4" customWidth="1"/>
    <col min="3" max="3" width="7.7265625" style="6" hidden="1" customWidth="1"/>
    <col min="4" max="4" width="18.453125" style="4" customWidth="1"/>
    <col min="5" max="5" width="18.453125" style="5" customWidth="1"/>
    <col min="6" max="6" width="24.81640625" style="4" customWidth="1"/>
    <col min="7" max="7" width="18.453125" style="4" customWidth="1"/>
    <col min="8" max="8" width="11.54296875" style="5"/>
    <col min="9" max="9" width="17.81640625" style="7" customWidth="1"/>
    <col min="10" max="10" width="18.81640625" style="5" customWidth="1"/>
    <col min="11" max="11" width="19.453125" style="5" customWidth="1"/>
    <col min="12" max="12" width="16" style="5" customWidth="1"/>
    <col min="13" max="13" width="16.90625" style="5" customWidth="1"/>
    <col min="14" max="14" width="13.1796875" style="5" bestFit="1" customWidth="1"/>
    <col min="15" max="16384" width="11.54296875" style="5"/>
  </cols>
  <sheetData>
    <row r="1" spans="1:14" s="8" customFormat="1" ht="65.25" customHeight="1" x14ac:dyDescent="0.3">
      <c r="A1" s="250" t="s">
        <v>108</v>
      </c>
      <c r="B1" s="251"/>
      <c r="C1" s="251"/>
      <c r="D1" s="251"/>
      <c r="E1" s="251"/>
      <c r="F1" s="251"/>
      <c r="G1" s="251"/>
      <c r="K1" s="19"/>
    </row>
    <row r="2" spans="1:14" s="36" customFormat="1" ht="24.75" customHeight="1" x14ac:dyDescent="0.25">
      <c r="A2" s="44"/>
      <c r="B2" s="295" t="s">
        <v>45</v>
      </c>
      <c r="C2" s="295"/>
      <c r="D2" s="296"/>
      <c r="E2" s="42"/>
      <c r="F2" s="295" t="s">
        <v>46</v>
      </c>
      <c r="G2" s="296"/>
      <c r="I2" s="252" t="s">
        <v>48</v>
      </c>
      <c r="J2" s="252"/>
      <c r="K2" s="252"/>
      <c r="L2" s="252" t="s">
        <v>52</v>
      </c>
      <c r="M2" s="252"/>
    </row>
    <row r="3" spans="1:14" s="27" customFormat="1" ht="40.5" x14ac:dyDescent="0.3">
      <c r="A3" s="43" t="s">
        <v>43</v>
      </c>
      <c r="B3" s="65" t="s">
        <v>44</v>
      </c>
      <c r="C3" s="214" t="s">
        <v>14</v>
      </c>
      <c r="D3" s="67" t="s">
        <v>111</v>
      </c>
      <c r="E3" s="40" t="s">
        <v>43</v>
      </c>
      <c r="F3" s="65" t="s">
        <v>44</v>
      </c>
      <c r="G3" s="67" t="s">
        <v>112</v>
      </c>
      <c r="I3" s="121" t="s">
        <v>47</v>
      </c>
      <c r="J3" s="121" t="s">
        <v>58</v>
      </c>
      <c r="K3" s="121" t="s">
        <v>59</v>
      </c>
      <c r="L3" s="122" t="s">
        <v>50</v>
      </c>
      <c r="M3" s="121" t="s">
        <v>51</v>
      </c>
    </row>
    <row r="4" spans="1:14" ht="15" customHeight="1" x14ac:dyDescent="0.3">
      <c r="A4" s="37">
        <v>37.5</v>
      </c>
      <c r="B4" s="71">
        <f>PARAMETROS!B6</f>
        <v>1582.9634625000001</v>
      </c>
      <c r="C4" s="72"/>
      <c r="D4" s="71"/>
      <c r="E4" s="37">
        <v>37.5</v>
      </c>
      <c r="F4" s="71">
        <f>PARAMETROS!C6</f>
        <v>2057.8525916666667</v>
      </c>
      <c r="G4" s="71">
        <f>IF(F4&gt;$K$4,$K$4*$K$18%,F4*$K$18%)</f>
        <v>658.10125881500005</v>
      </c>
      <c r="I4" s="253">
        <v>1</v>
      </c>
      <c r="J4" s="265">
        <v>1847.4</v>
      </c>
      <c r="K4" s="265">
        <v>4720.5</v>
      </c>
      <c r="L4" s="266">
        <v>1323</v>
      </c>
      <c r="M4" s="266">
        <v>4720.5</v>
      </c>
      <c r="N4" s="8"/>
    </row>
    <row r="5" spans="1:14" ht="15" customHeight="1" x14ac:dyDescent="0.3">
      <c r="A5" s="38">
        <v>36</v>
      </c>
      <c r="B5" s="73">
        <f>PRODUCT(B$4,A5)/A$4</f>
        <v>1519.6449240000002</v>
      </c>
      <c r="C5" s="74">
        <f t="shared" ref="C5:C40" si="0">(A5/$A$4*7.5*5)/7*30*$C$43</f>
        <v>1717.2000000000003</v>
      </c>
      <c r="D5" s="73">
        <f>IF(B5&lt;C5,C5*$K$18%,B5*$K$18%)</f>
        <v>549.16056000000015</v>
      </c>
      <c r="E5" s="38">
        <v>36</v>
      </c>
      <c r="F5" s="73">
        <f>PRODUCT(F$4,E5)/E$4</f>
        <v>1975.5384879999999</v>
      </c>
      <c r="G5" s="73">
        <f t="shared" ref="G5:G40" si="1">IF(F5&gt;$K$4,$K$4*$K$18%,F5*$K$18%)</f>
        <v>631.77720846240004</v>
      </c>
      <c r="I5" s="253"/>
      <c r="J5" s="265"/>
      <c r="K5" s="265"/>
      <c r="L5" s="266"/>
      <c r="M5" s="266"/>
      <c r="N5" s="8"/>
    </row>
    <row r="6" spans="1:14" ht="15" customHeight="1" x14ac:dyDescent="0.3">
      <c r="A6" s="38">
        <v>35</v>
      </c>
      <c r="B6" s="73">
        <f t="shared" ref="B6:B40" si="2">PRODUCT(B$4,A6)/A$4</f>
        <v>1477.4325650000001</v>
      </c>
      <c r="C6" s="74">
        <f t="shared" si="0"/>
        <v>1669.5000000000002</v>
      </c>
      <c r="D6" s="73">
        <f t="shared" ref="D6:D40" si="3">IF(B6&lt;C6,C6*$K$18%,B6*$K$18%)</f>
        <v>533.90610000000015</v>
      </c>
      <c r="E6" s="38">
        <v>35</v>
      </c>
      <c r="F6" s="73">
        <f t="shared" ref="F6:F40" si="4">PRODUCT(F$4,E6)/E$4</f>
        <v>1920.6624188888889</v>
      </c>
      <c r="G6" s="73">
        <f t="shared" si="1"/>
        <v>614.22784156066666</v>
      </c>
      <c r="I6" s="35"/>
      <c r="J6" s="8"/>
      <c r="K6" s="8"/>
      <c r="L6" s="112"/>
      <c r="M6" s="8"/>
      <c r="N6" s="8"/>
    </row>
    <row r="7" spans="1:14" ht="15" customHeight="1" thickBot="1" x14ac:dyDescent="0.35">
      <c r="A7" s="38">
        <v>34</v>
      </c>
      <c r="B7" s="73">
        <f t="shared" si="2"/>
        <v>1435.2202060000002</v>
      </c>
      <c r="C7" s="74">
        <f t="shared" si="0"/>
        <v>1621.8</v>
      </c>
      <c r="D7" s="73">
        <f t="shared" si="3"/>
        <v>518.65164000000004</v>
      </c>
      <c r="E7" s="38">
        <v>34</v>
      </c>
      <c r="F7" s="73">
        <f t="shared" si="4"/>
        <v>1865.786349777778</v>
      </c>
      <c r="G7" s="73">
        <f t="shared" si="1"/>
        <v>596.67847465893351</v>
      </c>
      <c r="I7" s="35"/>
      <c r="J7" s="19"/>
      <c r="K7" s="8"/>
      <c r="L7" s="112"/>
      <c r="M7" s="8"/>
      <c r="N7" s="8"/>
    </row>
    <row r="8" spans="1:14" ht="15" customHeight="1" x14ac:dyDescent="0.3">
      <c r="A8" s="38">
        <v>33</v>
      </c>
      <c r="B8" s="73">
        <f t="shared" si="2"/>
        <v>1393.0078470000001</v>
      </c>
      <c r="C8" s="74">
        <f t="shared" si="0"/>
        <v>1574.1000000000004</v>
      </c>
      <c r="D8" s="73">
        <f t="shared" si="3"/>
        <v>503.39718000000016</v>
      </c>
      <c r="E8" s="38">
        <v>33</v>
      </c>
      <c r="F8" s="73">
        <f t="shared" si="4"/>
        <v>1810.9102806666667</v>
      </c>
      <c r="G8" s="73">
        <f t="shared" si="1"/>
        <v>579.12910775720002</v>
      </c>
      <c r="I8" s="228" t="s">
        <v>88</v>
      </c>
      <c r="J8" s="228"/>
      <c r="K8" s="229"/>
      <c r="L8" s="232">
        <v>0</v>
      </c>
      <c r="M8" s="8"/>
      <c r="N8" s="149"/>
    </row>
    <row r="9" spans="1:14" ht="15" customHeight="1" thickBot="1" x14ac:dyDescent="0.35">
      <c r="A9" s="38">
        <v>32</v>
      </c>
      <c r="B9" s="73">
        <f t="shared" si="2"/>
        <v>1350.795488</v>
      </c>
      <c r="C9" s="74">
        <f t="shared" si="0"/>
        <v>1526.4</v>
      </c>
      <c r="D9" s="73">
        <f t="shared" si="3"/>
        <v>488.14272000000005</v>
      </c>
      <c r="E9" s="38">
        <v>32</v>
      </c>
      <c r="F9" s="73">
        <f t="shared" si="4"/>
        <v>1756.0342115555557</v>
      </c>
      <c r="G9" s="73">
        <f t="shared" si="1"/>
        <v>561.57974085546675</v>
      </c>
      <c r="I9" s="228"/>
      <c r="J9" s="228"/>
      <c r="K9" s="229"/>
      <c r="L9" s="233"/>
      <c r="M9" s="8"/>
      <c r="N9" s="8"/>
    </row>
    <row r="10" spans="1:14" ht="15" customHeight="1" thickBot="1" x14ac:dyDescent="0.35">
      <c r="A10" s="38">
        <v>31</v>
      </c>
      <c r="B10" s="73">
        <f t="shared" si="2"/>
        <v>1308.5831290000001</v>
      </c>
      <c r="C10" s="74">
        <f t="shared" si="0"/>
        <v>1478.7</v>
      </c>
      <c r="D10" s="73">
        <f t="shared" si="3"/>
        <v>472.88826000000006</v>
      </c>
      <c r="E10" s="38">
        <v>31</v>
      </c>
      <c r="F10" s="73">
        <f t="shared" si="4"/>
        <v>1701.1581424444444</v>
      </c>
      <c r="G10" s="73">
        <f t="shared" si="1"/>
        <v>544.03037395373337</v>
      </c>
      <c r="I10" s="117"/>
      <c r="J10" s="118"/>
      <c r="K10" s="119"/>
      <c r="L10" s="120"/>
      <c r="M10" s="8"/>
      <c r="N10" s="8"/>
    </row>
    <row r="11" spans="1:14" ht="15" customHeight="1" x14ac:dyDescent="0.3">
      <c r="A11" s="38">
        <v>30</v>
      </c>
      <c r="B11" s="73">
        <f t="shared" si="2"/>
        <v>1266.37077</v>
      </c>
      <c r="C11" s="74">
        <f t="shared" si="0"/>
        <v>1431</v>
      </c>
      <c r="D11" s="73">
        <f t="shared" si="3"/>
        <v>457.63380000000006</v>
      </c>
      <c r="E11" s="38">
        <v>30</v>
      </c>
      <c r="F11" s="73">
        <f t="shared" si="4"/>
        <v>1646.2820733333335</v>
      </c>
      <c r="G11" s="73">
        <f t="shared" si="1"/>
        <v>526.48100705200011</v>
      </c>
      <c r="I11" s="234" t="s">
        <v>60</v>
      </c>
      <c r="J11" s="235"/>
      <c r="K11" s="235"/>
      <c r="L11" s="236"/>
      <c r="M11" s="8"/>
      <c r="N11" s="8"/>
    </row>
    <row r="12" spans="1:14" ht="15" customHeight="1" thickBot="1" x14ac:dyDescent="0.35">
      <c r="A12" s="38">
        <v>29</v>
      </c>
      <c r="B12" s="73">
        <f t="shared" si="2"/>
        <v>1224.1584110000001</v>
      </c>
      <c r="C12" s="74">
        <f t="shared" si="0"/>
        <v>1383.3000000000002</v>
      </c>
      <c r="D12" s="73">
        <f t="shared" si="3"/>
        <v>442.37934000000007</v>
      </c>
      <c r="E12" s="38">
        <v>29</v>
      </c>
      <c r="F12" s="73">
        <f t="shared" si="4"/>
        <v>1591.4060042222222</v>
      </c>
      <c r="G12" s="73">
        <f t="shared" si="1"/>
        <v>508.93164015026673</v>
      </c>
      <c r="I12" s="237"/>
      <c r="J12" s="238"/>
      <c r="K12" s="238"/>
      <c r="L12" s="239"/>
      <c r="M12" s="8"/>
      <c r="N12" s="8"/>
    </row>
    <row r="13" spans="1:14" ht="15" customHeight="1" thickBot="1" x14ac:dyDescent="0.35">
      <c r="A13" s="38">
        <v>28</v>
      </c>
      <c r="B13" s="73">
        <f t="shared" si="2"/>
        <v>1181.946052</v>
      </c>
      <c r="C13" s="74">
        <f t="shared" si="0"/>
        <v>1335.6000000000004</v>
      </c>
      <c r="D13" s="73">
        <f t="shared" si="3"/>
        <v>427.12488000000013</v>
      </c>
      <c r="E13" s="38">
        <v>28</v>
      </c>
      <c r="F13" s="73">
        <f t="shared" si="4"/>
        <v>1536.5299351111112</v>
      </c>
      <c r="G13" s="73">
        <f t="shared" si="1"/>
        <v>491.38227324853341</v>
      </c>
      <c r="I13" s="114"/>
      <c r="J13" s="115" t="s">
        <v>53</v>
      </c>
      <c r="K13" s="130" t="s">
        <v>54</v>
      </c>
      <c r="L13" s="116" t="s">
        <v>55</v>
      </c>
      <c r="M13" s="8"/>
      <c r="N13" s="8"/>
    </row>
    <row r="14" spans="1:14" ht="15" customHeight="1" x14ac:dyDescent="0.3">
      <c r="A14" s="38">
        <v>27</v>
      </c>
      <c r="B14" s="73">
        <f t="shared" si="2"/>
        <v>1139.7336929999999</v>
      </c>
      <c r="C14" s="74">
        <f t="shared" si="0"/>
        <v>1287.9000000000001</v>
      </c>
      <c r="D14" s="73">
        <f t="shared" si="3"/>
        <v>411.87042000000008</v>
      </c>
      <c r="E14" s="38">
        <v>27</v>
      </c>
      <c r="F14" s="73">
        <f t="shared" si="4"/>
        <v>1481.6538660000001</v>
      </c>
      <c r="G14" s="73">
        <f t="shared" si="1"/>
        <v>473.83290634680009</v>
      </c>
      <c r="I14" s="262" t="s">
        <v>56</v>
      </c>
      <c r="J14" s="240">
        <f>IF(L8&gt;=J4,L8,J4)</f>
        <v>1847.4</v>
      </c>
      <c r="K14" s="242">
        <v>24.18</v>
      </c>
      <c r="L14" s="247">
        <f>J14*K14%</f>
        <v>446.70132000000001</v>
      </c>
      <c r="M14" s="8"/>
      <c r="N14" s="8"/>
    </row>
    <row r="15" spans="1:14" ht="15" customHeight="1" thickBot="1" x14ac:dyDescent="0.35">
      <c r="A15" s="38">
        <v>26</v>
      </c>
      <c r="B15" s="73">
        <f t="shared" si="2"/>
        <v>1097.521334</v>
      </c>
      <c r="C15" s="74">
        <f t="shared" si="0"/>
        <v>1240.2</v>
      </c>
      <c r="D15" s="73">
        <f t="shared" si="3"/>
        <v>396.61596000000003</v>
      </c>
      <c r="E15" s="38">
        <v>26</v>
      </c>
      <c r="F15" s="73">
        <f t="shared" si="4"/>
        <v>1426.7777968888888</v>
      </c>
      <c r="G15" s="73">
        <f t="shared" si="1"/>
        <v>456.28353944506671</v>
      </c>
      <c r="I15" s="263"/>
      <c r="J15" s="241"/>
      <c r="K15" s="243"/>
      <c r="L15" s="248"/>
      <c r="M15" s="8"/>
      <c r="N15" s="8"/>
    </row>
    <row r="16" spans="1:14" ht="15" customHeight="1" x14ac:dyDescent="0.3">
      <c r="A16" s="38">
        <v>25</v>
      </c>
      <c r="B16" s="73">
        <f t="shared" si="2"/>
        <v>1055.3089749999999</v>
      </c>
      <c r="C16" s="74">
        <f t="shared" si="0"/>
        <v>1192.5000000000002</v>
      </c>
      <c r="D16" s="73">
        <f t="shared" si="3"/>
        <v>381.36150000000009</v>
      </c>
      <c r="E16" s="38">
        <v>25</v>
      </c>
      <c r="F16" s="73">
        <f t="shared" si="4"/>
        <v>1371.901727777778</v>
      </c>
      <c r="G16" s="73">
        <f t="shared" si="1"/>
        <v>438.73417254333344</v>
      </c>
      <c r="I16" s="245" t="s">
        <v>57</v>
      </c>
      <c r="J16" s="240">
        <f>IF(L8&gt;=L4,L8,L4)</f>
        <v>1323</v>
      </c>
      <c r="K16" s="242">
        <v>7.8</v>
      </c>
      <c r="L16" s="226">
        <f>J16*K16%</f>
        <v>103.194</v>
      </c>
      <c r="M16" s="8"/>
      <c r="N16" s="8"/>
    </row>
    <row r="17" spans="1:14" ht="15" customHeight="1" thickBot="1" x14ac:dyDescent="0.35">
      <c r="A17" s="38">
        <v>24</v>
      </c>
      <c r="B17" s="73">
        <f t="shared" si="2"/>
        <v>1013.0966160000002</v>
      </c>
      <c r="C17" s="74">
        <f t="shared" si="0"/>
        <v>1144.8</v>
      </c>
      <c r="D17" s="73">
        <f t="shared" si="3"/>
        <v>366.10704000000004</v>
      </c>
      <c r="E17" s="38">
        <v>24</v>
      </c>
      <c r="F17" s="73">
        <f t="shared" si="4"/>
        <v>1317.0256586666667</v>
      </c>
      <c r="G17" s="73">
        <f t="shared" si="1"/>
        <v>421.18480564160006</v>
      </c>
      <c r="I17" s="246"/>
      <c r="J17" s="241"/>
      <c r="K17" s="243">
        <v>0.2</v>
      </c>
      <c r="L17" s="244"/>
      <c r="M17" s="8"/>
      <c r="N17" s="8"/>
    </row>
    <row r="18" spans="1:14" ht="15" customHeight="1" thickBot="1" x14ac:dyDescent="0.35">
      <c r="A18" s="38">
        <v>23</v>
      </c>
      <c r="B18" s="73">
        <f t="shared" si="2"/>
        <v>970.88425700000005</v>
      </c>
      <c r="C18" s="74">
        <f t="shared" si="0"/>
        <v>1097.1000000000001</v>
      </c>
      <c r="D18" s="73">
        <f t="shared" si="3"/>
        <v>350.8525800000001</v>
      </c>
      <c r="E18" s="38">
        <v>23</v>
      </c>
      <c r="F18" s="73">
        <f t="shared" si="4"/>
        <v>1262.1495895555556</v>
      </c>
      <c r="G18" s="73">
        <f t="shared" si="1"/>
        <v>403.63543873986674</v>
      </c>
      <c r="I18" s="260" t="s">
        <v>61</v>
      </c>
      <c r="J18" s="261"/>
      <c r="K18" s="131">
        <f>(K14+K16)</f>
        <v>31.98</v>
      </c>
      <c r="L18" s="127">
        <f>SUM(L14:L17)</f>
        <v>549.89531999999997</v>
      </c>
      <c r="M18" s="8"/>
      <c r="N18" s="8"/>
    </row>
    <row r="19" spans="1:14" ht="15" customHeight="1" x14ac:dyDescent="0.3">
      <c r="A19" s="38">
        <v>22</v>
      </c>
      <c r="B19" s="73">
        <f t="shared" si="2"/>
        <v>928.67189800000017</v>
      </c>
      <c r="C19" s="74">
        <f t="shared" si="0"/>
        <v>1049.4000000000001</v>
      </c>
      <c r="D19" s="73">
        <f t="shared" si="3"/>
        <v>335.59812000000005</v>
      </c>
      <c r="E19" s="38">
        <v>22</v>
      </c>
      <c r="F19" s="73">
        <f t="shared" si="4"/>
        <v>1207.2735204444446</v>
      </c>
      <c r="G19" s="73">
        <f t="shared" si="1"/>
        <v>386.08607183813342</v>
      </c>
      <c r="I19" s="123"/>
      <c r="J19" s="124"/>
      <c r="K19" s="125"/>
      <c r="L19" s="126"/>
      <c r="M19" s="8"/>
      <c r="N19" s="8"/>
    </row>
    <row r="20" spans="1:14" ht="15" customHeight="1" x14ac:dyDescent="0.3">
      <c r="A20" s="38">
        <v>21</v>
      </c>
      <c r="B20" s="73">
        <f t="shared" si="2"/>
        <v>886.45953900000006</v>
      </c>
      <c r="C20" s="74">
        <f t="shared" si="0"/>
        <v>1001.7</v>
      </c>
      <c r="D20" s="73">
        <f t="shared" si="3"/>
        <v>320.34366000000006</v>
      </c>
      <c r="E20" s="38">
        <v>21</v>
      </c>
      <c r="F20" s="73">
        <f t="shared" si="4"/>
        <v>1152.3974513333333</v>
      </c>
      <c r="G20" s="73">
        <f t="shared" si="1"/>
        <v>368.53670493639999</v>
      </c>
      <c r="I20" s="264" t="s">
        <v>77</v>
      </c>
      <c r="J20" s="264"/>
      <c r="K20" s="264"/>
      <c r="L20" s="264"/>
      <c r="M20" s="264"/>
      <c r="N20" s="264"/>
    </row>
    <row r="21" spans="1:14" ht="15" customHeight="1" x14ac:dyDescent="0.3">
      <c r="A21" s="38">
        <v>20</v>
      </c>
      <c r="B21" s="73">
        <f t="shared" si="2"/>
        <v>844.24718000000007</v>
      </c>
      <c r="C21" s="74">
        <f t="shared" si="0"/>
        <v>954.00000000000011</v>
      </c>
      <c r="D21" s="73">
        <f t="shared" si="3"/>
        <v>305.08920000000006</v>
      </c>
      <c r="E21" s="38">
        <v>20</v>
      </c>
      <c r="F21" s="73">
        <f t="shared" si="4"/>
        <v>1097.5213822222222</v>
      </c>
      <c r="G21" s="73">
        <f t="shared" si="1"/>
        <v>350.98733803466666</v>
      </c>
      <c r="I21" s="264"/>
      <c r="J21" s="264"/>
      <c r="K21" s="264"/>
      <c r="L21" s="264"/>
      <c r="M21" s="264"/>
      <c r="N21" s="264"/>
    </row>
    <row r="22" spans="1:14" ht="15" customHeight="1" thickBot="1" x14ac:dyDescent="0.35">
      <c r="A22" s="38">
        <v>19</v>
      </c>
      <c r="B22" s="73">
        <f t="shared" si="2"/>
        <v>802.03482100000008</v>
      </c>
      <c r="C22" s="74">
        <f t="shared" si="0"/>
        <v>906.30000000000007</v>
      </c>
      <c r="D22" s="73">
        <f t="shared" si="3"/>
        <v>289.83474000000007</v>
      </c>
      <c r="E22" s="38">
        <v>19</v>
      </c>
      <c r="F22" s="73">
        <f t="shared" si="4"/>
        <v>1042.6453131111111</v>
      </c>
      <c r="G22" s="73">
        <f t="shared" si="1"/>
        <v>333.4379711329334</v>
      </c>
      <c r="I22" s="35"/>
      <c r="J22" s="19"/>
      <c r="K22" s="8"/>
      <c r="L22" s="112"/>
      <c r="M22" s="8"/>
      <c r="N22" s="8"/>
    </row>
    <row r="23" spans="1:14" ht="15" customHeight="1" x14ac:dyDescent="0.3">
      <c r="A23" s="38">
        <v>18</v>
      </c>
      <c r="B23" s="73">
        <f t="shared" si="2"/>
        <v>759.82246200000009</v>
      </c>
      <c r="C23" s="74">
        <f t="shared" si="0"/>
        <v>858.60000000000014</v>
      </c>
      <c r="D23" s="73">
        <f t="shared" si="3"/>
        <v>274.58028000000007</v>
      </c>
      <c r="E23" s="38">
        <v>18</v>
      </c>
      <c r="F23" s="73">
        <f t="shared" si="4"/>
        <v>987.76924399999996</v>
      </c>
      <c r="G23" s="73">
        <f t="shared" si="1"/>
        <v>315.88860423120002</v>
      </c>
      <c r="I23" s="228" t="s">
        <v>62</v>
      </c>
      <c r="J23" s="228"/>
      <c r="K23" s="229"/>
      <c r="L23" s="230">
        <v>20</v>
      </c>
      <c r="M23" s="8"/>
      <c r="N23" s="8"/>
    </row>
    <row r="24" spans="1:14" ht="15" customHeight="1" thickBot="1" x14ac:dyDescent="0.35">
      <c r="A24" s="38">
        <v>17</v>
      </c>
      <c r="B24" s="73">
        <f t="shared" si="2"/>
        <v>717.61010300000009</v>
      </c>
      <c r="C24" s="74">
        <f t="shared" si="0"/>
        <v>810.9</v>
      </c>
      <c r="D24" s="73">
        <f t="shared" si="3"/>
        <v>259.32582000000002</v>
      </c>
      <c r="E24" s="38">
        <v>17</v>
      </c>
      <c r="F24" s="73">
        <f t="shared" si="4"/>
        <v>932.89317488888901</v>
      </c>
      <c r="G24" s="73">
        <f t="shared" si="1"/>
        <v>298.33923732946675</v>
      </c>
      <c r="I24" s="228"/>
      <c r="J24" s="228"/>
      <c r="K24" s="229"/>
      <c r="L24" s="231"/>
      <c r="M24" s="8"/>
      <c r="N24" s="8"/>
    </row>
    <row r="25" spans="1:14" ht="15" customHeight="1" thickBot="1" x14ac:dyDescent="0.35">
      <c r="A25" s="38">
        <v>16</v>
      </c>
      <c r="B25" s="73">
        <f t="shared" si="2"/>
        <v>675.39774399999999</v>
      </c>
      <c r="C25" s="74">
        <f t="shared" si="0"/>
        <v>763.2</v>
      </c>
      <c r="D25" s="73">
        <f t="shared" si="3"/>
        <v>244.07136000000003</v>
      </c>
      <c r="E25" s="38">
        <v>16</v>
      </c>
      <c r="F25" s="73">
        <f t="shared" si="4"/>
        <v>878.01710577777783</v>
      </c>
      <c r="G25" s="73">
        <f t="shared" si="1"/>
        <v>280.78987042773338</v>
      </c>
      <c r="I25" s="35"/>
      <c r="J25" s="19"/>
      <c r="K25" s="8"/>
      <c r="L25" s="112"/>
      <c r="M25" s="8"/>
      <c r="N25" s="8"/>
    </row>
    <row r="26" spans="1:14" ht="15" customHeight="1" x14ac:dyDescent="0.3">
      <c r="A26" s="38">
        <v>15</v>
      </c>
      <c r="B26" s="73">
        <f t="shared" si="2"/>
        <v>633.185385</v>
      </c>
      <c r="C26" s="74">
        <f t="shared" si="0"/>
        <v>715.5</v>
      </c>
      <c r="D26" s="73">
        <f t="shared" si="3"/>
        <v>228.81690000000003</v>
      </c>
      <c r="E26" s="38">
        <v>15</v>
      </c>
      <c r="F26" s="73">
        <f t="shared" si="4"/>
        <v>823.14103666666676</v>
      </c>
      <c r="G26" s="73">
        <f t="shared" si="1"/>
        <v>263.24050352600005</v>
      </c>
      <c r="I26" s="228" t="s">
        <v>67</v>
      </c>
      <c r="J26" s="228"/>
      <c r="K26" s="229"/>
      <c r="L26" s="232">
        <v>844.25</v>
      </c>
      <c r="M26" s="8"/>
      <c r="N26" s="8"/>
    </row>
    <row r="27" spans="1:14" ht="15" customHeight="1" thickBot="1" x14ac:dyDescent="0.35">
      <c r="A27" s="38">
        <v>14</v>
      </c>
      <c r="B27" s="73">
        <f t="shared" si="2"/>
        <v>590.973026</v>
      </c>
      <c r="C27" s="74">
        <f t="shared" si="0"/>
        <v>667.80000000000018</v>
      </c>
      <c r="D27" s="73">
        <f t="shared" si="3"/>
        <v>213.56244000000007</v>
      </c>
      <c r="E27" s="38">
        <v>14</v>
      </c>
      <c r="F27" s="73">
        <f t="shared" si="4"/>
        <v>768.26496755555559</v>
      </c>
      <c r="G27" s="73">
        <f t="shared" si="1"/>
        <v>245.6911366242667</v>
      </c>
      <c r="I27" s="228"/>
      <c r="J27" s="228"/>
      <c r="K27" s="229"/>
      <c r="L27" s="233"/>
      <c r="M27" s="8"/>
      <c r="N27" s="8"/>
    </row>
    <row r="28" spans="1:14" ht="15" customHeight="1" thickBot="1" x14ac:dyDescent="0.35">
      <c r="A28" s="38">
        <v>13</v>
      </c>
      <c r="B28" s="73">
        <f t="shared" si="2"/>
        <v>548.76066700000001</v>
      </c>
      <c r="C28" s="74">
        <f t="shared" si="0"/>
        <v>620.1</v>
      </c>
      <c r="D28" s="73">
        <f t="shared" si="3"/>
        <v>198.30798000000001</v>
      </c>
      <c r="E28" s="38">
        <v>13</v>
      </c>
      <c r="F28" s="73">
        <f t="shared" si="4"/>
        <v>713.38889844444441</v>
      </c>
      <c r="G28" s="73">
        <f t="shared" si="1"/>
        <v>228.14176972253335</v>
      </c>
      <c r="I28" s="35"/>
      <c r="J28" s="19"/>
      <c r="K28" s="8"/>
      <c r="L28" s="112"/>
      <c r="M28" s="8"/>
      <c r="N28" s="8"/>
    </row>
    <row r="29" spans="1:14" ht="15" customHeight="1" x14ac:dyDescent="0.3">
      <c r="A29" s="38">
        <v>12</v>
      </c>
      <c r="B29" s="73">
        <f t="shared" si="2"/>
        <v>506.54830800000008</v>
      </c>
      <c r="C29" s="74">
        <f t="shared" si="0"/>
        <v>572.4</v>
      </c>
      <c r="D29" s="73">
        <f t="shared" si="3"/>
        <v>183.05352000000002</v>
      </c>
      <c r="E29" s="38">
        <v>12</v>
      </c>
      <c r="F29" s="73">
        <f t="shared" si="4"/>
        <v>658.51282933333334</v>
      </c>
      <c r="G29" s="73">
        <f t="shared" si="1"/>
        <v>210.59240282080003</v>
      </c>
      <c r="I29" s="234" t="s">
        <v>63</v>
      </c>
      <c r="J29" s="235"/>
      <c r="K29" s="235"/>
      <c r="L29" s="236"/>
      <c r="M29" s="8"/>
      <c r="N29" s="8"/>
    </row>
    <row r="30" spans="1:14" ht="15" customHeight="1" thickBot="1" x14ac:dyDescent="0.35">
      <c r="A30" s="38">
        <v>11</v>
      </c>
      <c r="B30" s="73">
        <f t="shared" si="2"/>
        <v>464.33594900000008</v>
      </c>
      <c r="C30" s="74">
        <f t="shared" si="0"/>
        <v>524.70000000000005</v>
      </c>
      <c r="D30" s="73">
        <f t="shared" si="3"/>
        <v>167.79906000000003</v>
      </c>
      <c r="E30" s="38">
        <v>11</v>
      </c>
      <c r="F30" s="73">
        <f t="shared" si="4"/>
        <v>603.63676022222228</v>
      </c>
      <c r="G30" s="73">
        <f t="shared" si="1"/>
        <v>193.04303591906671</v>
      </c>
      <c r="I30" s="237"/>
      <c r="J30" s="238"/>
      <c r="K30" s="238"/>
      <c r="L30" s="239"/>
      <c r="M30" s="8"/>
      <c r="N30" s="8"/>
    </row>
    <row r="31" spans="1:14" ht="15" customHeight="1" thickBot="1" x14ac:dyDescent="0.35">
      <c r="A31" s="38">
        <v>10</v>
      </c>
      <c r="B31" s="73">
        <f t="shared" si="2"/>
        <v>422.12359000000004</v>
      </c>
      <c r="C31" s="74">
        <f t="shared" si="0"/>
        <v>477.00000000000006</v>
      </c>
      <c r="D31" s="73">
        <f t="shared" si="3"/>
        <v>152.54460000000003</v>
      </c>
      <c r="E31" s="38">
        <v>10</v>
      </c>
      <c r="F31" s="73">
        <f t="shared" si="4"/>
        <v>548.7606911111111</v>
      </c>
      <c r="G31" s="73">
        <f t="shared" si="1"/>
        <v>175.49366901733333</v>
      </c>
      <c r="I31" s="134" t="s">
        <v>68</v>
      </c>
      <c r="J31" s="132" t="s">
        <v>53</v>
      </c>
      <c r="K31" s="130" t="s">
        <v>69</v>
      </c>
      <c r="L31" s="116" t="s">
        <v>55</v>
      </c>
      <c r="M31" s="8"/>
      <c r="N31" s="8"/>
    </row>
    <row r="32" spans="1:14" ht="15" customHeight="1" x14ac:dyDescent="0.3">
      <c r="A32" s="38">
        <v>9</v>
      </c>
      <c r="B32" s="73">
        <f t="shared" si="2"/>
        <v>379.91123100000004</v>
      </c>
      <c r="C32" s="74">
        <f t="shared" si="0"/>
        <v>429.30000000000007</v>
      </c>
      <c r="D32" s="73">
        <f t="shared" si="3"/>
        <v>137.29014000000004</v>
      </c>
      <c r="E32" s="38">
        <v>9</v>
      </c>
      <c r="F32" s="73">
        <f t="shared" si="4"/>
        <v>493.88462199999998</v>
      </c>
      <c r="G32" s="73">
        <f t="shared" si="1"/>
        <v>157.94430211560001</v>
      </c>
      <c r="I32" s="220">
        <f>((L23/37.5*7.5*5)/7)*30*$C$43</f>
        <v>954.00000000000011</v>
      </c>
      <c r="J32" s="222">
        <f>IF(L26&lt;I32,I32,L26)</f>
        <v>954.00000000000011</v>
      </c>
      <c r="K32" s="224">
        <v>31.98</v>
      </c>
      <c r="L32" s="226">
        <f>J32*K32%</f>
        <v>305.08920000000006</v>
      </c>
      <c r="M32" s="8"/>
      <c r="N32" s="8"/>
    </row>
    <row r="33" spans="1:14" ht="15" customHeight="1" thickBot="1" x14ac:dyDescent="0.35">
      <c r="A33" s="38">
        <v>8</v>
      </c>
      <c r="B33" s="73">
        <f t="shared" si="2"/>
        <v>337.69887199999999</v>
      </c>
      <c r="C33" s="74">
        <f t="shared" si="0"/>
        <v>381.6</v>
      </c>
      <c r="D33" s="73">
        <f t="shared" si="3"/>
        <v>122.03568000000001</v>
      </c>
      <c r="E33" s="38">
        <v>8</v>
      </c>
      <c r="F33" s="73">
        <f t="shared" si="4"/>
        <v>439.00855288888891</v>
      </c>
      <c r="G33" s="73">
        <f t="shared" si="1"/>
        <v>140.39493521386669</v>
      </c>
      <c r="I33" s="221"/>
      <c r="J33" s="223"/>
      <c r="K33" s="225"/>
      <c r="L33" s="227"/>
      <c r="M33" s="8"/>
      <c r="N33" s="8"/>
    </row>
    <row r="34" spans="1:14" ht="15" customHeight="1" thickBot="1" x14ac:dyDescent="0.35">
      <c r="A34" s="38">
        <v>7</v>
      </c>
      <c r="B34" s="73">
        <f t="shared" si="2"/>
        <v>295.486513</v>
      </c>
      <c r="C34" s="74">
        <f t="shared" si="0"/>
        <v>333.90000000000009</v>
      </c>
      <c r="D34" s="73">
        <f t="shared" si="3"/>
        <v>106.78122000000003</v>
      </c>
      <c r="E34" s="38">
        <v>7</v>
      </c>
      <c r="F34" s="73">
        <f t="shared" si="4"/>
        <v>384.13248377777779</v>
      </c>
      <c r="G34" s="73">
        <f t="shared" si="1"/>
        <v>122.84556831213335</v>
      </c>
      <c r="I34" s="215" t="s">
        <v>64</v>
      </c>
      <c r="J34" s="216"/>
      <c r="K34" s="217"/>
      <c r="L34" s="127">
        <f>SUM(L32)</f>
        <v>305.08920000000006</v>
      </c>
      <c r="M34" s="8"/>
      <c r="N34" s="8"/>
    </row>
    <row r="35" spans="1:14" ht="15" customHeight="1" x14ac:dyDescent="0.3">
      <c r="A35" s="38">
        <v>6</v>
      </c>
      <c r="B35" s="73">
        <f t="shared" si="2"/>
        <v>253.27415400000004</v>
      </c>
      <c r="C35" s="74">
        <f t="shared" si="0"/>
        <v>286.2</v>
      </c>
      <c r="D35" s="73">
        <f t="shared" si="3"/>
        <v>91.52676000000001</v>
      </c>
      <c r="E35" s="38">
        <v>6</v>
      </c>
      <c r="F35" s="73">
        <f t="shared" si="4"/>
        <v>329.25641466666667</v>
      </c>
      <c r="G35" s="73">
        <f t="shared" si="1"/>
        <v>105.29620141040002</v>
      </c>
      <c r="I35" s="35"/>
      <c r="J35" s="19"/>
      <c r="K35" s="8"/>
      <c r="L35" s="112"/>
      <c r="M35" s="8"/>
      <c r="N35" s="133"/>
    </row>
    <row r="36" spans="1:14" ht="15" customHeight="1" x14ac:dyDescent="0.3">
      <c r="A36" s="38">
        <v>5</v>
      </c>
      <c r="B36" s="73">
        <f t="shared" si="2"/>
        <v>211.06179500000002</v>
      </c>
      <c r="C36" s="74">
        <f t="shared" si="0"/>
        <v>238.50000000000003</v>
      </c>
      <c r="D36" s="73">
        <f t="shared" si="3"/>
        <v>76.272300000000016</v>
      </c>
      <c r="E36" s="38">
        <v>5</v>
      </c>
      <c r="F36" s="73">
        <f t="shared" si="4"/>
        <v>274.38034555555555</v>
      </c>
      <c r="G36" s="73">
        <f t="shared" si="1"/>
        <v>87.746834508666666</v>
      </c>
      <c r="I36" s="218" t="s">
        <v>66</v>
      </c>
      <c r="J36" s="218"/>
      <c r="K36" s="218"/>
      <c r="L36" s="218"/>
      <c r="M36" s="219" t="s">
        <v>98</v>
      </c>
      <c r="N36" s="219"/>
    </row>
    <row r="37" spans="1:14" ht="15" customHeight="1" x14ac:dyDescent="0.3">
      <c r="A37" s="38">
        <v>4</v>
      </c>
      <c r="B37" s="73">
        <f t="shared" si="2"/>
        <v>168.849436</v>
      </c>
      <c r="C37" s="74">
        <f t="shared" si="0"/>
        <v>190.8</v>
      </c>
      <c r="D37" s="73">
        <f t="shared" si="3"/>
        <v>61.017840000000007</v>
      </c>
      <c r="E37" s="38">
        <v>4</v>
      </c>
      <c r="F37" s="73">
        <f t="shared" si="4"/>
        <v>219.50427644444446</v>
      </c>
      <c r="G37" s="73">
        <f t="shared" si="1"/>
        <v>70.197467606933344</v>
      </c>
      <c r="I37" s="218"/>
      <c r="J37" s="218"/>
      <c r="K37" s="218"/>
      <c r="L37" s="218"/>
      <c r="M37" s="219"/>
      <c r="N37" s="219"/>
    </row>
    <row r="38" spans="1:14" ht="15" customHeight="1" x14ac:dyDescent="0.3">
      <c r="A38" s="38">
        <v>3</v>
      </c>
      <c r="B38" s="73">
        <f t="shared" si="2"/>
        <v>126.63707700000002</v>
      </c>
      <c r="C38" s="74">
        <f t="shared" si="0"/>
        <v>143.1</v>
      </c>
      <c r="D38" s="73">
        <f t="shared" si="3"/>
        <v>45.763380000000005</v>
      </c>
      <c r="E38" s="38">
        <v>3</v>
      </c>
      <c r="F38" s="73">
        <f t="shared" si="4"/>
        <v>164.62820733333334</v>
      </c>
      <c r="G38" s="73">
        <f t="shared" si="1"/>
        <v>52.648100705200008</v>
      </c>
      <c r="I38" s="5"/>
    </row>
    <row r="39" spans="1:14" ht="15" customHeight="1" x14ac:dyDescent="0.3">
      <c r="A39" s="38">
        <v>2</v>
      </c>
      <c r="B39" s="73">
        <f t="shared" si="2"/>
        <v>84.424717999999999</v>
      </c>
      <c r="C39" s="74">
        <f t="shared" si="0"/>
        <v>95.4</v>
      </c>
      <c r="D39" s="73">
        <f t="shared" si="3"/>
        <v>30.508920000000003</v>
      </c>
      <c r="E39" s="38">
        <v>2</v>
      </c>
      <c r="F39" s="73">
        <f t="shared" si="4"/>
        <v>109.75213822222223</v>
      </c>
      <c r="G39" s="73">
        <f t="shared" si="1"/>
        <v>35.098733803466672</v>
      </c>
      <c r="I39" s="5"/>
    </row>
    <row r="40" spans="1:14" ht="15" customHeight="1" x14ac:dyDescent="0.3">
      <c r="A40" s="39">
        <v>1</v>
      </c>
      <c r="B40" s="75">
        <f t="shared" si="2"/>
        <v>42.212358999999999</v>
      </c>
      <c r="C40" s="76">
        <f t="shared" si="0"/>
        <v>47.7</v>
      </c>
      <c r="D40" s="75">
        <f t="shared" si="3"/>
        <v>15.254460000000002</v>
      </c>
      <c r="E40" s="39">
        <v>1</v>
      </c>
      <c r="F40" s="75">
        <f t="shared" si="4"/>
        <v>54.876069111111114</v>
      </c>
      <c r="G40" s="75">
        <f t="shared" si="1"/>
        <v>17.549366901733336</v>
      </c>
      <c r="I40" s="5"/>
    </row>
    <row r="41" spans="1:14" hidden="1" x14ac:dyDescent="0.3"/>
    <row r="42" spans="1:14" ht="14.5" hidden="1" thickBot="1" x14ac:dyDescent="0.35">
      <c r="C42" s="208" t="s">
        <v>94</v>
      </c>
    </row>
    <row r="43" spans="1:14" s="21" customFormat="1" ht="39.5" hidden="1" customHeight="1" thickBot="1" x14ac:dyDescent="0.3">
      <c r="A43" s="187"/>
      <c r="B43" s="205" t="s">
        <v>13</v>
      </c>
      <c r="C43" s="206">
        <v>11.13</v>
      </c>
      <c r="D43" s="187"/>
      <c r="E43" s="189"/>
      <c r="F43" s="187"/>
      <c r="G43" s="187"/>
      <c r="I43" s="190"/>
    </row>
    <row r="44" spans="1:14" hidden="1" x14ac:dyDescent="0.3"/>
    <row r="45" spans="1:14" hidden="1" x14ac:dyDescent="0.3"/>
    <row r="46" spans="1:14" hidden="1" x14ac:dyDescent="0.3"/>
    <row r="47" spans="1:14" hidden="1" x14ac:dyDescent="0.3"/>
  </sheetData>
  <sheetProtection algorithmName="SHA-512" hashValue="9BjNn+dxY62JRPYTmxKJccXPc7N7Skx0pBr4gNO0GqLigwaicL1jKCCMtekl0Ti+cpyzV+Uo7EzzkGnhai33tA==" saltValue="a8y18Iv4kJfFPSmz18mIdw==" spinCount="100000" sheet="1" objects="1" scenarios="1"/>
  <protectedRanges>
    <protectedRange sqref="M36" name="CALCULO RC"/>
    <protectedRange sqref="L8" name="RET TC_1"/>
    <protectedRange sqref="L23" name="DED_1"/>
    <protectedRange sqref="L26" name="RET TP_1"/>
  </protectedRanges>
  <mergeCells count="36">
    <mergeCell ref="N36:N37"/>
    <mergeCell ref="I20:N21"/>
    <mergeCell ref="I23:K24"/>
    <mergeCell ref="L23:L24"/>
    <mergeCell ref="I26:K27"/>
    <mergeCell ref="L26:L27"/>
    <mergeCell ref="I34:K34"/>
    <mergeCell ref="I36:L37"/>
    <mergeCell ref="M36:M37"/>
    <mergeCell ref="I29:L30"/>
    <mergeCell ref="I32:I33"/>
    <mergeCell ref="J32:J33"/>
    <mergeCell ref="K32:K33"/>
    <mergeCell ref="L32:L33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B2:D2"/>
    <mergeCell ref="F2:G2"/>
    <mergeCell ref="A1:G1"/>
    <mergeCell ref="I2:K2"/>
    <mergeCell ref="L2:M2"/>
  </mergeCells>
  <hyperlinks>
    <hyperlink ref="M36:M37" r:id="rId1" display="CALCULO RC E INDEMNIZACION" xr:uid="{00000000-0004-0000-0400-000000000000}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47"/>
  <sheetViews>
    <sheetView topLeftCell="D13" zoomScaleNormal="100" workbookViewId="0">
      <selection activeCell="A42" sqref="A42:XFD47"/>
    </sheetView>
  </sheetViews>
  <sheetFormatPr baseColWidth="10" defaultColWidth="11.54296875" defaultRowHeight="14" x14ac:dyDescent="0.3"/>
  <cols>
    <col min="1" max="1" width="18.453125" style="4" customWidth="1"/>
    <col min="2" max="2" width="24.453125" style="68" customWidth="1"/>
    <col min="3" max="3" width="9.26953125" style="69" hidden="1" customWidth="1"/>
    <col min="4" max="4" width="18.453125" style="68" customWidth="1"/>
    <col min="5" max="5" width="18.453125" style="5" customWidth="1"/>
    <col min="6" max="6" width="24.81640625" style="68" customWidth="1"/>
    <col min="7" max="7" width="18.453125" style="68" customWidth="1"/>
    <col min="8" max="8" width="11.54296875" style="5"/>
    <col min="9" max="9" width="20.81640625" style="7" customWidth="1"/>
    <col min="10" max="10" width="19.81640625" style="5" customWidth="1"/>
    <col min="11" max="11" width="20.54296875" style="5" customWidth="1"/>
    <col min="12" max="12" width="17.1796875" style="5" customWidth="1"/>
    <col min="13" max="13" width="15.54296875" style="5" customWidth="1"/>
    <col min="14" max="16384" width="11.54296875" style="5"/>
  </cols>
  <sheetData>
    <row r="1" spans="1:14" s="8" customFormat="1" ht="65.25" customHeight="1" x14ac:dyDescent="0.3">
      <c r="A1" s="250" t="s">
        <v>109</v>
      </c>
      <c r="B1" s="251"/>
      <c r="C1" s="251"/>
      <c r="D1" s="251"/>
      <c r="E1" s="251"/>
      <c r="F1" s="251"/>
      <c r="G1" s="251"/>
      <c r="K1" s="19"/>
    </row>
    <row r="2" spans="1:14" s="36" customFormat="1" ht="24.75" customHeight="1" x14ac:dyDescent="0.25">
      <c r="A2" s="44"/>
      <c r="B2" s="295" t="s">
        <v>45</v>
      </c>
      <c r="C2" s="295"/>
      <c r="D2" s="296"/>
      <c r="E2" s="42"/>
      <c r="F2" s="295" t="s">
        <v>46</v>
      </c>
      <c r="G2" s="296"/>
      <c r="I2" s="252" t="s">
        <v>48</v>
      </c>
      <c r="J2" s="252"/>
      <c r="K2" s="252"/>
      <c r="L2" s="252" t="s">
        <v>52</v>
      </c>
      <c r="M2" s="252"/>
    </row>
    <row r="3" spans="1:14" s="27" customFormat="1" ht="40.5" x14ac:dyDescent="0.3">
      <c r="A3" s="43" t="s">
        <v>43</v>
      </c>
      <c r="B3" s="65" t="s">
        <v>44</v>
      </c>
      <c r="C3" s="66" t="s">
        <v>90</v>
      </c>
      <c r="D3" s="67" t="s">
        <v>111</v>
      </c>
      <c r="E3" s="40" t="s">
        <v>43</v>
      </c>
      <c r="F3" s="65" t="s">
        <v>44</v>
      </c>
      <c r="G3" s="67" t="s">
        <v>112</v>
      </c>
      <c r="I3" s="121" t="s">
        <v>47</v>
      </c>
      <c r="J3" s="121" t="s">
        <v>58</v>
      </c>
      <c r="K3" s="121" t="s">
        <v>59</v>
      </c>
      <c r="L3" s="122" t="s">
        <v>50</v>
      </c>
      <c r="M3" s="121" t="s">
        <v>51</v>
      </c>
    </row>
    <row r="4" spans="1:14" ht="15" customHeight="1" x14ac:dyDescent="0.3">
      <c r="A4" s="37">
        <v>37.5</v>
      </c>
      <c r="B4" s="71">
        <f>PARAMETROS!B7</f>
        <v>1484.0286416666668</v>
      </c>
      <c r="C4" s="72"/>
      <c r="D4" s="71"/>
      <c r="E4" s="37">
        <v>37.5</v>
      </c>
      <c r="F4" s="71">
        <f>PARAMETROS!C7</f>
        <v>1929.237595833333</v>
      </c>
      <c r="G4" s="71">
        <f>IF(F4&gt;$K$4,$K$4*$K$18%,F4*$K$18%)</f>
        <v>616.97018314749994</v>
      </c>
      <c r="I4" s="253">
        <v>2</v>
      </c>
      <c r="J4" s="265">
        <v>1532.1</v>
      </c>
      <c r="K4" s="265">
        <v>4720.5</v>
      </c>
      <c r="L4" s="266">
        <v>1323</v>
      </c>
      <c r="M4" s="266">
        <v>4720.5</v>
      </c>
      <c r="N4" s="8"/>
    </row>
    <row r="5" spans="1:14" x14ac:dyDescent="0.3">
      <c r="A5" s="38">
        <v>36</v>
      </c>
      <c r="B5" s="73">
        <f>PRODUCT(B$4,A5)/A$4</f>
        <v>1424.6674960000003</v>
      </c>
      <c r="C5" s="74">
        <f t="shared" ref="C5:C40" si="0">(A5/$A$4*7.5*5)/7*30*$C$43</f>
        <v>1424.0571428571432</v>
      </c>
      <c r="D5" s="73">
        <f>IF(B5&lt;C5,C5*$K$18%,B5*$K$18%)</f>
        <v>455.60866522080011</v>
      </c>
      <c r="E5" s="38">
        <v>36</v>
      </c>
      <c r="F5" s="73">
        <f>PRODUCT(F$4,E5)/E$4</f>
        <v>1852.0680919999998</v>
      </c>
      <c r="G5" s="73">
        <f t="shared" ref="G5:G40" si="1">IF(F5&gt;$K$4,$K$4*$K$18%,F5*$K$18%)</f>
        <v>592.29137582160001</v>
      </c>
      <c r="I5" s="253"/>
      <c r="J5" s="265"/>
      <c r="K5" s="265"/>
      <c r="L5" s="266"/>
      <c r="M5" s="266"/>
      <c r="N5" s="8"/>
    </row>
    <row r="6" spans="1:14" x14ac:dyDescent="0.3">
      <c r="A6" s="38">
        <v>35</v>
      </c>
      <c r="B6" s="73">
        <f t="shared" ref="B6:B40" si="2">PRODUCT(B$4,A6)/A$4</f>
        <v>1385.0933988888889</v>
      </c>
      <c r="C6" s="74">
        <f t="shared" si="0"/>
        <v>1384.5</v>
      </c>
      <c r="D6" s="73">
        <f t="shared" ref="D6:D40" si="3">IF(B6&lt;C6,C6*$K$18%,B6*$K$18%)</f>
        <v>442.95286896466672</v>
      </c>
      <c r="E6" s="38">
        <v>35</v>
      </c>
      <c r="F6" s="73">
        <f t="shared" ref="F6:F40" si="4">PRODUCT(F$4,E6)/E$4</f>
        <v>1800.6217561111107</v>
      </c>
      <c r="G6" s="73">
        <f t="shared" si="1"/>
        <v>575.83883760433321</v>
      </c>
      <c r="I6" s="35"/>
      <c r="J6" s="8"/>
      <c r="K6" s="8"/>
      <c r="L6" s="112"/>
      <c r="M6" s="8"/>
      <c r="N6" s="8"/>
    </row>
    <row r="7" spans="1:14" ht="14.5" thickBot="1" x14ac:dyDescent="0.35">
      <c r="A7" s="38">
        <v>34</v>
      </c>
      <c r="B7" s="73">
        <f t="shared" si="2"/>
        <v>1345.5193017777779</v>
      </c>
      <c r="C7" s="74">
        <f t="shared" si="0"/>
        <v>1344.9428571428571</v>
      </c>
      <c r="D7" s="73">
        <f t="shared" si="3"/>
        <v>430.29707270853339</v>
      </c>
      <c r="E7" s="38">
        <v>34</v>
      </c>
      <c r="F7" s="73">
        <f t="shared" si="4"/>
        <v>1749.1754202222219</v>
      </c>
      <c r="G7" s="73">
        <f t="shared" si="1"/>
        <v>559.38629938706663</v>
      </c>
      <c r="I7" s="35"/>
      <c r="J7" s="19"/>
      <c r="K7" s="8"/>
      <c r="L7" s="112"/>
      <c r="M7" s="8"/>
      <c r="N7" s="8"/>
    </row>
    <row r="8" spans="1:14" x14ac:dyDescent="0.3">
      <c r="A8" s="38">
        <v>33</v>
      </c>
      <c r="B8" s="73">
        <f t="shared" si="2"/>
        <v>1305.9452046666668</v>
      </c>
      <c r="C8" s="74">
        <f t="shared" si="0"/>
        <v>1305.3857142857146</v>
      </c>
      <c r="D8" s="73">
        <f t="shared" si="3"/>
        <v>417.64127645240006</v>
      </c>
      <c r="E8" s="38">
        <v>33</v>
      </c>
      <c r="F8" s="73">
        <f t="shared" si="4"/>
        <v>1697.729084333333</v>
      </c>
      <c r="G8" s="73">
        <f t="shared" si="1"/>
        <v>542.93376116979994</v>
      </c>
      <c r="I8" s="228" t="s">
        <v>88</v>
      </c>
      <c r="J8" s="228"/>
      <c r="K8" s="229"/>
      <c r="L8" s="232">
        <v>0</v>
      </c>
      <c r="M8" s="8"/>
      <c r="N8" s="8"/>
    </row>
    <row r="9" spans="1:14" ht="14.5" thickBot="1" x14ac:dyDescent="0.35">
      <c r="A9" s="38">
        <v>32</v>
      </c>
      <c r="B9" s="73">
        <f t="shared" si="2"/>
        <v>1266.3711075555557</v>
      </c>
      <c r="C9" s="74">
        <f t="shared" si="0"/>
        <v>1265.8285714285714</v>
      </c>
      <c r="D9" s="73">
        <f t="shared" si="3"/>
        <v>404.98548019626674</v>
      </c>
      <c r="E9" s="38">
        <v>32</v>
      </c>
      <c r="F9" s="73">
        <f t="shared" si="4"/>
        <v>1646.2827484444442</v>
      </c>
      <c r="G9" s="73">
        <f t="shared" si="1"/>
        <v>526.48122295253336</v>
      </c>
      <c r="I9" s="228"/>
      <c r="J9" s="228"/>
      <c r="K9" s="229"/>
      <c r="L9" s="233"/>
      <c r="M9" s="8"/>
      <c r="N9" s="8"/>
    </row>
    <row r="10" spans="1:14" ht="14.5" thickBot="1" x14ac:dyDescent="0.35">
      <c r="A10" s="38">
        <v>31</v>
      </c>
      <c r="B10" s="73">
        <f t="shared" si="2"/>
        <v>1226.7970104444446</v>
      </c>
      <c r="C10" s="74">
        <f t="shared" si="0"/>
        <v>1226.2714285714287</v>
      </c>
      <c r="D10" s="73">
        <f t="shared" si="3"/>
        <v>392.32968394013341</v>
      </c>
      <c r="E10" s="38">
        <v>31</v>
      </c>
      <c r="F10" s="73">
        <f t="shared" si="4"/>
        <v>1594.8364125555552</v>
      </c>
      <c r="G10" s="73">
        <f t="shared" si="1"/>
        <v>510.02868473526661</v>
      </c>
      <c r="I10" s="117"/>
      <c r="J10" s="118"/>
      <c r="K10" s="119"/>
      <c r="L10" s="120"/>
      <c r="M10" s="8"/>
      <c r="N10" s="8"/>
    </row>
    <row r="11" spans="1:14" x14ac:dyDescent="0.3">
      <c r="A11" s="38">
        <v>30</v>
      </c>
      <c r="B11" s="73">
        <f t="shared" si="2"/>
        <v>1187.2229133333333</v>
      </c>
      <c r="C11" s="74">
        <f t="shared" si="0"/>
        <v>1186.7142857142856</v>
      </c>
      <c r="D11" s="73">
        <f t="shared" si="3"/>
        <v>379.67388768400002</v>
      </c>
      <c r="E11" s="38">
        <v>30</v>
      </c>
      <c r="F11" s="73">
        <f t="shared" si="4"/>
        <v>1543.3900766666663</v>
      </c>
      <c r="G11" s="73">
        <f t="shared" si="1"/>
        <v>493.57614651799992</v>
      </c>
      <c r="I11" s="234" t="s">
        <v>60</v>
      </c>
      <c r="J11" s="235"/>
      <c r="K11" s="235"/>
      <c r="L11" s="236"/>
      <c r="M11" s="8"/>
      <c r="N11" s="8"/>
    </row>
    <row r="12" spans="1:14" ht="14.5" thickBot="1" x14ac:dyDescent="0.35">
      <c r="A12" s="38">
        <v>29</v>
      </c>
      <c r="B12" s="73">
        <f t="shared" si="2"/>
        <v>1147.6488162222224</v>
      </c>
      <c r="C12" s="74">
        <f t="shared" si="0"/>
        <v>1147.1571428571431</v>
      </c>
      <c r="D12" s="73">
        <f t="shared" si="3"/>
        <v>367.01809142786675</v>
      </c>
      <c r="E12" s="38">
        <v>29</v>
      </c>
      <c r="F12" s="73">
        <f t="shared" si="4"/>
        <v>1491.9437407777775</v>
      </c>
      <c r="G12" s="73">
        <f t="shared" si="1"/>
        <v>477.12360830073328</v>
      </c>
      <c r="I12" s="237"/>
      <c r="J12" s="238"/>
      <c r="K12" s="238"/>
      <c r="L12" s="239"/>
      <c r="M12" s="8"/>
      <c r="N12" s="8"/>
    </row>
    <row r="13" spans="1:14" ht="14.5" thickBot="1" x14ac:dyDescent="0.35">
      <c r="A13" s="38">
        <v>28</v>
      </c>
      <c r="B13" s="73">
        <f t="shared" si="2"/>
        <v>1108.0747191111111</v>
      </c>
      <c r="C13" s="74">
        <f t="shared" si="0"/>
        <v>1107.6000000000004</v>
      </c>
      <c r="D13" s="73">
        <f t="shared" si="3"/>
        <v>354.36229517173336</v>
      </c>
      <c r="E13" s="38">
        <v>28</v>
      </c>
      <c r="F13" s="73">
        <f t="shared" si="4"/>
        <v>1440.4974048888887</v>
      </c>
      <c r="G13" s="73">
        <f t="shared" si="1"/>
        <v>460.67107008346665</v>
      </c>
      <c r="I13" s="114"/>
      <c r="J13" s="115" t="s">
        <v>53</v>
      </c>
      <c r="K13" s="130" t="s">
        <v>54</v>
      </c>
      <c r="L13" s="116" t="s">
        <v>55</v>
      </c>
      <c r="M13" s="8"/>
      <c r="N13" s="8"/>
    </row>
    <row r="14" spans="1:14" x14ac:dyDescent="0.3">
      <c r="A14" s="38">
        <v>27</v>
      </c>
      <c r="B14" s="73">
        <f t="shared" si="2"/>
        <v>1068.500622</v>
      </c>
      <c r="C14" s="74">
        <f t="shared" si="0"/>
        <v>1068.0428571428572</v>
      </c>
      <c r="D14" s="73">
        <f t="shared" si="3"/>
        <v>341.70649891560004</v>
      </c>
      <c r="E14" s="38">
        <v>27</v>
      </c>
      <c r="F14" s="73">
        <f t="shared" si="4"/>
        <v>1389.0510689999996</v>
      </c>
      <c r="G14" s="73">
        <f t="shared" si="1"/>
        <v>444.21853186619995</v>
      </c>
      <c r="I14" s="262" t="s">
        <v>56</v>
      </c>
      <c r="J14" s="240">
        <f>IF(L8&gt;=J4,L8,J4)</f>
        <v>1532.1</v>
      </c>
      <c r="K14" s="242">
        <v>24.18</v>
      </c>
      <c r="L14" s="247">
        <f>J14*K14%</f>
        <v>370.46177999999998</v>
      </c>
      <c r="M14" s="8"/>
      <c r="N14" s="8"/>
    </row>
    <row r="15" spans="1:14" ht="14.5" thickBot="1" x14ac:dyDescent="0.35">
      <c r="A15" s="38">
        <v>26</v>
      </c>
      <c r="B15" s="73">
        <f t="shared" si="2"/>
        <v>1028.9265248888889</v>
      </c>
      <c r="C15" s="74">
        <f t="shared" si="0"/>
        <v>1028.4857142857143</v>
      </c>
      <c r="D15" s="73">
        <f t="shared" si="3"/>
        <v>329.05070265946671</v>
      </c>
      <c r="E15" s="38">
        <v>26</v>
      </c>
      <c r="F15" s="73">
        <f t="shared" si="4"/>
        <v>1337.6047331111108</v>
      </c>
      <c r="G15" s="73">
        <f t="shared" si="1"/>
        <v>427.76599364893326</v>
      </c>
      <c r="I15" s="263"/>
      <c r="J15" s="241"/>
      <c r="K15" s="243"/>
      <c r="L15" s="248"/>
      <c r="M15" s="8"/>
      <c r="N15" s="8"/>
    </row>
    <row r="16" spans="1:14" x14ac:dyDescent="0.3">
      <c r="A16" s="38">
        <v>25</v>
      </c>
      <c r="B16" s="73">
        <f t="shared" si="2"/>
        <v>989.35242777777773</v>
      </c>
      <c r="C16" s="74">
        <f t="shared" si="0"/>
        <v>988.92857142857156</v>
      </c>
      <c r="D16" s="73">
        <f t="shared" si="3"/>
        <v>316.39490640333332</v>
      </c>
      <c r="E16" s="38">
        <v>25</v>
      </c>
      <c r="F16" s="73">
        <f t="shared" si="4"/>
        <v>1286.158397222222</v>
      </c>
      <c r="G16" s="73">
        <f t="shared" si="1"/>
        <v>411.31345543166663</v>
      </c>
      <c r="I16" s="245" t="s">
        <v>57</v>
      </c>
      <c r="J16" s="240">
        <f>IF(L8&gt;=L4,L8,L4)</f>
        <v>1323</v>
      </c>
      <c r="K16" s="242">
        <v>7.8</v>
      </c>
      <c r="L16" s="226">
        <f>J16*K16%</f>
        <v>103.194</v>
      </c>
      <c r="M16" s="8"/>
      <c r="N16" s="8"/>
    </row>
    <row r="17" spans="1:14" ht="14.5" thickBot="1" x14ac:dyDescent="0.35">
      <c r="A17" s="38">
        <v>24</v>
      </c>
      <c r="B17" s="73">
        <f t="shared" si="2"/>
        <v>949.77833066666676</v>
      </c>
      <c r="C17" s="74">
        <f t="shared" si="0"/>
        <v>949.37142857142851</v>
      </c>
      <c r="D17" s="73">
        <f t="shared" si="3"/>
        <v>303.73911014720005</v>
      </c>
      <c r="E17" s="38">
        <v>24</v>
      </c>
      <c r="F17" s="73">
        <f t="shared" si="4"/>
        <v>1234.7120613333332</v>
      </c>
      <c r="G17" s="73">
        <f t="shared" si="1"/>
        <v>394.86091721439999</v>
      </c>
      <c r="I17" s="246"/>
      <c r="J17" s="241"/>
      <c r="K17" s="243">
        <v>0.2</v>
      </c>
      <c r="L17" s="244"/>
      <c r="M17" s="8"/>
      <c r="N17" s="8"/>
    </row>
    <row r="18" spans="1:14" ht="14.5" thickBot="1" x14ac:dyDescent="0.35">
      <c r="A18" s="38">
        <v>23</v>
      </c>
      <c r="B18" s="73">
        <f t="shared" si="2"/>
        <v>910.20423355555567</v>
      </c>
      <c r="C18" s="74">
        <f t="shared" si="0"/>
        <v>909.81428571428569</v>
      </c>
      <c r="D18" s="73">
        <f t="shared" si="3"/>
        <v>291.08331389106672</v>
      </c>
      <c r="E18" s="38">
        <v>23</v>
      </c>
      <c r="F18" s="73">
        <f t="shared" si="4"/>
        <v>1183.2657254444443</v>
      </c>
      <c r="G18" s="73">
        <f t="shared" si="1"/>
        <v>378.40837899713335</v>
      </c>
      <c r="I18" s="260" t="s">
        <v>61</v>
      </c>
      <c r="J18" s="261"/>
      <c r="K18" s="131">
        <f>(K14+K16)</f>
        <v>31.98</v>
      </c>
      <c r="L18" s="127">
        <f>SUM(L14:L17)</f>
        <v>473.65577999999999</v>
      </c>
      <c r="M18" s="8"/>
      <c r="N18" s="8"/>
    </row>
    <row r="19" spans="1:14" x14ac:dyDescent="0.3">
      <c r="A19" s="38">
        <v>22</v>
      </c>
      <c r="B19" s="73">
        <f t="shared" si="2"/>
        <v>870.63013644444447</v>
      </c>
      <c r="C19" s="74">
        <f t="shared" si="0"/>
        <v>870.25714285714287</v>
      </c>
      <c r="D19" s="73">
        <f t="shared" si="3"/>
        <v>278.42751763493339</v>
      </c>
      <c r="E19" s="38">
        <v>22</v>
      </c>
      <c r="F19" s="73">
        <f t="shared" si="4"/>
        <v>1131.8193895555553</v>
      </c>
      <c r="G19" s="73">
        <f t="shared" si="1"/>
        <v>361.95584077986661</v>
      </c>
      <c r="I19" s="123"/>
      <c r="J19" s="124"/>
      <c r="K19" s="125"/>
      <c r="L19" s="126"/>
      <c r="M19" s="8"/>
      <c r="N19" s="8"/>
    </row>
    <row r="20" spans="1:14" ht="14.25" customHeight="1" x14ac:dyDescent="0.3">
      <c r="A20" s="38">
        <v>21</v>
      </c>
      <c r="B20" s="73">
        <f t="shared" si="2"/>
        <v>831.05603933333339</v>
      </c>
      <c r="C20" s="74">
        <f t="shared" si="0"/>
        <v>830.7</v>
      </c>
      <c r="D20" s="73">
        <f t="shared" si="3"/>
        <v>265.77172137880007</v>
      </c>
      <c r="E20" s="38">
        <v>21</v>
      </c>
      <c r="F20" s="73">
        <f t="shared" si="4"/>
        <v>1080.3730536666665</v>
      </c>
      <c r="G20" s="73">
        <f t="shared" si="1"/>
        <v>345.50330256259997</v>
      </c>
      <c r="I20" s="249" t="s">
        <v>76</v>
      </c>
      <c r="J20" s="249"/>
      <c r="K20" s="249"/>
      <c r="L20" s="249"/>
      <c r="M20" s="249"/>
      <c r="N20" s="144"/>
    </row>
    <row r="21" spans="1:14" x14ac:dyDescent="0.3">
      <c r="A21" s="38">
        <v>20</v>
      </c>
      <c r="B21" s="73">
        <f t="shared" si="2"/>
        <v>791.4819422222223</v>
      </c>
      <c r="C21" s="74">
        <f t="shared" si="0"/>
        <v>791.14285714285722</v>
      </c>
      <c r="D21" s="73">
        <f t="shared" si="3"/>
        <v>253.11592512266671</v>
      </c>
      <c r="E21" s="38">
        <v>20</v>
      </c>
      <c r="F21" s="73">
        <f t="shared" si="4"/>
        <v>1028.9267177777776</v>
      </c>
      <c r="G21" s="73">
        <f t="shared" si="1"/>
        <v>329.05076434533333</v>
      </c>
      <c r="I21" s="249"/>
      <c r="J21" s="249"/>
      <c r="K21" s="249"/>
      <c r="L21" s="249"/>
      <c r="M21" s="249"/>
      <c r="N21" s="144"/>
    </row>
    <row r="22" spans="1:14" ht="14.5" thickBot="1" x14ac:dyDescent="0.35">
      <c r="A22" s="38">
        <v>19</v>
      </c>
      <c r="B22" s="73">
        <f t="shared" si="2"/>
        <v>751.9078451111111</v>
      </c>
      <c r="C22" s="74">
        <f t="shared" si="0"/>
        <v>751.58571428571429</v>
      </c>
      <c r="D22" s="73">
        <f t="shared" si="3"/>
        <v>240.46012886653335</v>
      </c>
      <c r="E22" s="38">
        <v>19</v>
      </c>
      <c r="F22" s="73">
        <f t="shared" si="4"/>
        <v>977.4803818888887</v>
      </c>
      <c r="G22" s="73">
        <f t="shared" si="1"/>
        <v>312.59822612806664</v>
      </c>
      <c r="I22" s="35"/>
      <c r="J22" s="19"/>
      <c r="K22" s="8"/>
      <c r="L22" s="112"/>
      <c r="M22" s="8"/>
      <c r="N22" s="8"/>
    </row>
    <row r="23" spans="1:14" x14ac:dyDescent="0.3">
      <c r="A23" s="38">
        <v>18</v>
      </c>
      <c r="B23" s="73">
        <f t="shared" si="2"/>
        <v>712.33374800000013</v>
      </c>
      <c r="C23" s="74">
        <f t="shared" si="0"/>
        <v>712.02857142857158</v>
      </c>
      <c r="D23" s="73">
        <f t="shared" si="3"/>
        <v>227.80433261040005</v>
      </c>
      <c r="E23" s="38">
        <v>18</v>
      </c>
      <c r="F23" s="73">
        <f t="shared" si="4"/>
        <v>926.03404599999988</v>
      </c>
      <c r="G23" s="73">
        <f t="shared" si="1"/>
        <v>296.14568791080001</v>
      </c>
      <c r="I23" s="228" t="s">
        <v>62</v>
      </c>
      <c r="J23" s="228"/>
      <c r="K23" s="229"/>
      <c r="L23" s="299">
        <v>0</v>
      </c>
      <c r="M23" s="8"/>
      <c r="N23" s="8"/>
    </row>
    <row r="24" spans="1:14" ht="14.5" thickBot="1" x14ac:dyDescent="0.35">
      <c r="A24" s="38">
        <v>17</v>
      </c>
      <c r="B24" s="73">
        <f t="shared" si="2"/>
        <v>672.75965088888893</v>
      </c>
      <c r="C24" s="74">
        <f t="shared" si="0"/>
        <v>672.47142857142853</v>
      </c>
      <c r="D24" s="73">
        <f t="shared" si="3"/>
        <v>215.1485363542667</v>
      </c>
      <c r="E24" s="38">
        <v>17</v>
      </c>
      <c r="F24" s="73">
        <f t="shared" si="4"/>
        <v>874.58771011111094</v>
      </c>
      <c r="G24" s="73">
        <f t="shared" si="1"/>
        <v>279.69314969353331</v>
      </c>
      <c r="I24" s="228"/>
      <c r="J24" s="228"/>
      <c r="K24" s="229"/>
      <c r="L24" s="300"/>
      <c r="M24" s="8"/>
      <c r="N24" s="8"/>
    </row>
    <row r="25" spans="1:14" ht="14.5" thickBot="1" x14ac:dyDescent="0.35">
      <c r="A25" s="38">
        <v>16</v>
      </c>
      <c r="B25" s="73">
        <f t="shared" si="2"/>
        <v>633.18555377777784</v>
      </c>
      <c r="C25" s="74">
        <f t="shared" si="0"/>
        <v>632.91428571428571</v>
      </c>
      <c r="D25" s="73">
        <f t="shared" si="3"/>
        <v>202.49274009813337</v>
      </c>
      <c r="E25" s="38">
        <v>16</v>
      </c>
      <c r="F25" s="73">
        <f t="shared" si="4"/>
        <v>823.14137422222211</v>
      </c>
      <c r="G25" s="73">
        <f t="shared" si="1"/>
        <v>263.24061147626668</v>
      </c>
      <c r="I25" s="35"/>
      <c r="J25" s="19"/>
      <c r="K25" s="8"/>
      <c r="L25" s="112"/>
      <c r="M25" s="8"/>
      <c r="N25" s="8"/>
    </row>
    <row r="26" spans="1:14" x14ac:dyDescent="0.3">
      <c r="A26" s="38">
        <v>15</v>
      </c>
      <c r="B26" s="73">
        <f t="shared" si="2"/>
        <v>593.61145666666664</v>
      </c>
      <c r="C26" s="74">
        <f t="shared" si="0"/>
        <v>593.35714285714278</v>
      </c>
      <c r="D26" s="73">
        <f t="shared" si="3"/>
        <v>189.83694384200001</v>
      </c>
      <c r="E26" s="38">
        <v>15</v>
      </c>
      <c r="F26" s="73">
        <f t="shared" si="4"/>
        <v>771.69503833333317</v>
      </c>
      <c r="G26" s="73">
        <f t="shared" si="1"/>
        <v>246.78807325899996</v>
      </c>
      <c r="I26" s="228" t="s">
        <v>67</v>
      </c>
      <c r="J26" s="228"/>
      <c r="K26" s="229"/>
      <c r="L26" s="297">
        <v>0</v>
      </c>
      <c r="M26" s="8"/>
      <c r="N26" s="8"/>
    </row>
    <row r="27" spans="1:14" ht="14.5" thickBot="1" x14ac:dyDescent="0.35">
      <c r="A27" s="38">
        <v>14</v>
      </c>
      <c r="B27" s="73">
        <f t="shared" si="2"/>
        <v>554.03735955555555</v>
      </c>
      <c r="C27" s="74">
        <f t="shared" si="0"/>
        <v>553.80000000000018</v>
      </c>
      <c r="D27" s="73">
        <f t="shared" si="3"/>
        <v>177.18114758586668</v>
      </c>
      <c r="E27" s="38">
        <v>14</v>
      </c>
      <c r="F27" s="73">
        <f t="shared" si="4"/>
        <v>720.24870244444435</v>
      </c>
      <c r="G27" s="73">
        <f t="shared" si="1"/>
        <v>230.33553504173332</v>
      </c>
      <c r="I27" s="228"/>
      <c r="J27" s="228"/>
      <c r="K27" s="229"/>
      <c r="L27" s="298"/>
      <c r="M27" s="8"/>
      <c r="N27" s="8"/>
    </row>
    <row r="28" spans="1:14" ht="14.5" thickBot="1" x14ac:dyDescent="0.35">
      <c r="A28" s="38">
        <v>13</v>
      </c>
      <c r="B28" s="73">
        <f t="shared" si="2"/>
        <v>514.46326244444447</v>
      </c>
      <c r="C28" s="74">
        <f t="shared" si="0"/>
        <v>514.24285714285713</v>
      </c>
      <c r="D28" s="73">
        <f t="shared" si="3"/>
        <v>164.52535132973335</v>
      </c>
      <c r="E28" s="38">
        <v>13</v>
      </c>
      <c r="F28" s="73">
        <f t="shared" si="4"/>
        <v>668.80236655555541</v>
      </c>
      <c r="G28" s="73">
        <f t="shared" si="1"/>
        <v>213.88299682446663</v>
      </c>
      <c r="I28" s="35"/>
      <c r="J28" s="19"/>
      <c r="K28" s="8"/>
      <c r="L28" s="112"/>
      <c r="M28" s="8"/>
      <c r="N28" s="8"/>
    </row>
    <row r="29" spans="1:14" x14ac:dyDescent="0.3">
      <c r="A29" s="38">
        <v>12</v>
      </c>
      <c r="B29" s="73">
        <f t="shared" si="2"/>
        <v>474.88916533333338</v>
      </c>
      <c r="C29" s="74">
        <f t="shared" si="0"/>
        <v>474.68571428571425</v>
      </c>
      <c r="D29" s="73">
        <f t="shared" si="3"/>
        <v>151.86955507360003</v>
      </c>
      <c r="E29" s="38">
        <v>12</v>
      </c>
      <c r="F29" s="73">
        <f t="shared" si="4"/>
        <v>617.35603066666658</v>
      </c>
      <c r="G29" s="73">
        <f t="shared" si="1"/>
        <v>197.43045860719999</v>
      </c>
      <c r="I29" s="234" t="s">
        <v>63</v>
      </c>
      <c r="J29" s="235"/>
      <c r="K29" s="235"/>
      <c r="L29" s="236"/>
      <c r="M29" s="8"/>
      <c r="N29" s="8"/>
    </row>
    <row r="30" spans="1:14" ht="14.5" thickBot="1" x14ac:dyDescent="0.35">
      <c r="A30" s="38">
        <v>11</v>
      </c>
      <c r="B30" s="73">
        <f t="shared" si="2"/>
        <v>435.31506822222224</v>
      </c>
      <c r="C30" s="74">
        <f t="shared" si="0"/>
        <v>435.12857142857143</v>
      </c>
      <c r="D30" s="73">
        <f t="shared" si="3"/>
        <v>139.2137588174667</v>
      </c>
      <c r="E30" s="38">
        <v>11</v>
      </c>
      <c r="F30" s="73">
        <f t="shared" si="4"/>
        <v>565.90969477777764</v>
      </c>
      <c r="G30" s="73">
        <f t="shared" si="1"/>
        <v>180.9779203899333</v>
      </c>
      <c r="I30" s="237"/>
      <c r="J30" s="238"/>
      <c r="K30" s="238"/>
      <c r="L30" s="239"/>
      <c r="M30" s="8"/>
      <c r="N30" s="8"/>
    </row>
    <row r="31" spans="1:14" ht="14.5" thickBot="1" x14ac:dyDescent="0.35">
      <c r="A31" s="38">
        <v>10</v>
      </c>
      <c r="B31" s="73">
        <f t="shared" si="2"/>
        <v>395.74097111111115</v>
      </c>
      <c r="C31" s="74">
        <f t="shared" si="0"/>
        <v>395.57142857142861</v>
      </c>
      <c r="D31" s="73">
        <f t="shared" si="3"/>
        <v>126.55796256133335</v>
      </c>
      <c r="E31" s="38">
        <v>10</v>
      </c>
      <c r="F31" s="73">
        <f t="shared" si="4"/>
        <v>514.46335888888882</v>
      </c>
      <c r="G31" s="73">
        <f t="shared" si="1"/>
        <v>164.52538217266667</v>
      </c>
      <c r="I31" s="134" t="s">
        <v>68</v>
      </c>
      <c r="J31" s="132" t="s">
        <v>53</v>
      </c>
      <c r="K31" s="130" t="s">
        <v>69</v>
      </c>
      <c r="L31" s="116" t="s">
        <v>55</v>
      </c>
      <c r="M31" s="8"/>
      <c r="N31" s="8"/>
    </row>
    <row r="32" spans="1:14" x14ac:dyDescent="0.3">
      <c r="A32" s="38">
        <v>9</v>
      </c>
      <c r="B32" s="73">
        <f t="shared" si="2"/>
        <v>356.16687400000006</v>
      </c>
      <c r="C32" s="74">
        <f t="shared" si="0"/>
        <v>356.01428571428579</v>
      </c>
      <c r="D32" s="73">
        <f t="shared" si="3"/>
        <v>113.90216630520003</v>
      </c>
      <c r="E32" s="38">
        <v>9</v>
      </c>
      <c r="F32" s="73">
        <f t="shared" si="4"/>
        <v>463.01702299999994</v>
      </c>
      <c r="G32" s="73">
        <f t="shared" si="1"/>
        <v>148.0728439554</v>
      </c>
      <c r="I32" s="220">
        <f>((L23/37.5*7.5*5)/7)*30*$C$43</f>
        <v>0</v>
      </c>
      <c r="J32" s="222">
        <f>IF(L26&lt;I32,I32,L26)</f>
        <v>0</v>
      </c>
      <c r="K32" s="224">
        <v>31.98</v>
      </c>
      <c r="L32" s="226">
        <f>J32*K32%</f>
        <v>0</v>
      </c>
      <c r="M32" s="8"/>
      <c r="N32" s="8"/>
    </row>
    <row r="33" spans="1:14" ht="14.5" thickBot="1" x14ac:dyDescent="0.35">
      <c r="A33" s="38">
        <v>8</v>
      </c>
      <c r="B33" s="73">
        <f t="shared" si="2"/>
        <v>316.59277688888892</v>
      </c>
      <c r="C33" s="74">
        <f t="shared" si="0"/>
        <v>316.45714285714286</v>
      </c>
      <c r="D33" s="73">
        <f t="shared" si="3"/>
        <v>101.24637004906668</v>
      </c>
      <c r="E33" s="38">
        <v>8</v>
      </c>
      <c r="F33" s="73">
        <f t="shared" si="4"/>
        <v>411.57068711111106</v>
      </c>
      <c r="G33" s="73">
        <f t="shared" si="1"/>
        <v>131.62030573813334</v>
      </c>
      <c r="I33" s="221"/>
      <c r="J33" s="223"/>
      <c r="K33" s="225"/>
      <c r="L33" s="227"/>
      <c r="M33" s="8"/>
      <c r="N33" s="8"/>
    </row>
    <row r="34" spans="1:14" ht="14.5" thickBot="1" x14ac:dyDescent="0.35">
      <c r="A34" s="38">
        <v>7</v>
      </c>
      <c r="B34" s="73">
        <f t="shared" si="2"/>
        <v>277.01867977777778</v>
      </c>
      <c r="C34" s="74">
        <f t="shared" si="0"/>
        <v>276.90000000000009</v>
      </c>
      <c r="D34" s="73">
        <f t="shared" si="3"/>
        <v>88.590573792933341</v>
      </c>
      <c r="E34" s="38">
        <v>7</v>
      </c>
      <c r="F34" s="73">
        <f t="shared" si="4"/>
        <v>360.12435122222217</v>
      </c>
      <c r="G34" s="73">
        <f t="shared" si="1"/>
        <v>115.16776752086666</v>
      </c>
      <c r="I34" s="215" t="s">
        <v>64</v>
      </c>
      <c r="J34" s="216"/>
      <c r="K34" s="217"/>
      <c r="L34" s="127">
        <f>SUM(L32)</f>
        <v>0</v>
      </c>
      <c r="M34" s="8"/>
      <c r="N34" s="8"/>
    </row>
    <row r="35" spans="1:14" x14ac:dyDescent="0.3">
      <c r="A35" s="38">
        <v>6</v>
      </c>
      <c r="B35" s="73">
        <f t="shared" si="2"/>
        <v>237.44458266666669</v>
      </c>
      <c r="C35" s="74">
        <f t="shared" si="0"/>
        <v>237.34285714285713</v>
      </c>
      <c r="D35" s="73">
        <f t="shared" si="3"/>
        <v>75.934777536800013</v>
      </c>
      <c r="E35" s="38">
        <v>6</v>
      </c>
      <c r="F35" s="73">
        <f t="shared" si="4"/>
        <v>308.67801533333329</v>
      </c>
      <c r="G35" s="73">
        <f t="shared" si="1"/>
        <v>98.715229303599997</v>
      </c>
      <c r="I35" s="35"/>
      <c r="J35" s="19"/>
      <c r="K35" s="8"/>
      <c r="L35" s="112"/>
      <c r="M35" s="8"/>
      <c r="N35" s="133"/>
    </row>
    <row r="36" spans="1:14" x14ac:dyDescent="0.3">
      <c r="A36" s="38">
        <v>5</v>
      </c>
      <c r="B36" s="73">
        <f t="shared" si="2"/>
        <v>197.87048555555558</v>
      </c>
      <c r="C36" s="74">
        <f t="shared" si="0"/>
        <v>197.78571428571431</v>
      </c>
      <c r="D36" s="73">
        <f t="shared" si="3"/>
        <v>63.278981280666677</v>
      </c>
      <c r="E36" s="38">
        <v>5</v>
      </c>
      <c r="F36" s="73">
        <f t="shared" si="4"/>
        <v>257.23167944444441</v>
      </c>
      <c r="G36" s="73">
        <f t="shared" si="1"/>
        <v>82.262691086333334</v>
      </c>
      <c r="I36" s="218" t="s">
        <v>66</v>
      </c>
      <c r="J36" s="218"/>
      <c r="K36" s="218"/>
      <c r="L36" s="218"/>
      <c r="M36" s="219" t="s">
        <v>98</v>
      </c>
      <c r="N36" s="133"/>
    </row>
    <row r="37" spans="1:14" x14ac:dyDescent="0.3">
      <c r="A37" s="38">
        <v>4</v>
      </c>
      <c r="B37" s="73">
        <f t="shared" si="2"/>
        <v>158.29638844444446</v>
      </c>
      <c r="C37" s="74">
        <f t="shared" si="0"/>
        <v>158.22857142857143</v>
      </c>
      <c r="D37" s="73">
        <f t="shared" si="3"/>
        <v>50.623185024533342</v>
      </c>
      <c r="E37" s="38">
        <v>4</v>
      </c>
      <c r="F37" s="73">
        <f t="shared" si="4"/>
        <v>205.78534355555553</v>
      </c>
      <c r="G37" s="73">
        <f t="shared" si="1"/>
        <v>65.81015286906667</v>
      </c>
      <c r="I37" s="218"/>
      <c r="J37" s="218"/>
      <c r="K37" s="218"/>
      <c r="L37" s="218"/>
      <c r="M37" s="219"/>
      <c r="N37" s="133"/>
    </row>
    <row r="38" spans="1:14" x14ac:dyDescent="0.3">
      <c r="A38" s="38">
        <v>3</v>
      </c>
      <c r="B38" s="73">
        <f t="shared" si="2"/>
        <v>118.72229133333335</v>
      </c>
      <c r="C38" s="74">
        <f t="shared" si="0"/>
        <v>118.67142857142856</v>
      </c>
      <c r="D38" s="73">
        <f t="shared" si="3"/>
        <v>37.967388768400006</v>
      </c>
      <c r="E38" s="38">
        <v>3</v>
      </c>
      <c r="F38" s="73">
        <f t="shared" si="4"/>
        <v>154.33900766666665</v>
      </c>
      <c r="G38" s="73">
        <f t="shared" si="1"/>
        <v>49.357614651799999</v>
      </c>
      <c r="I38" s="5"/>
    </row>
    <row r="39" spans="1:14" x14ac:dyDescent="0.3">
      <c r="A39" s="38">
        <v>2</v>
      </c>
      <c r="B39" s="73">
        <f t="shared" si="2"/>
        <v>79.14819422222223</v>
      </c>
      <c r="C39" s="74">
        <f t="shared" si="0"/>
        <v>79.114285714285714</v>
      </c>
      <c r="D39" s="73">
        <f t="shared" si="3"/>
        <v>25.311592512266671</v>
      </c>
      <c r="E39" s="38">
        <v>2</v>
      </c>
      <c r="F39" s="73">
        <f t="shared" si="4"/>
        <v>102.89267177777776</v>
      </c>
      <c r="G39" s="73">
        <f t="shared" si="1"/>
        <v>32.905076434533335</v>
      </c>
      <c r="I39" s="5"/>
    </row>
    <row r="40" spans="1:14" x14ac:dyDescent="0.3">
      <c r="A40" s="39">
        <v>1</v>
      </c>
      <c r="B40" s="75">
        <f t="shared" si="2"/>
        <v>39.574097111111115</v>
      </c>
      <c r="C40" s="76">
        <f t="shared" si="0"/>
        <v>39.557142857142857</v>
      </c>
      <c r="D40" s="75">
        <f t="shared" si="3"/>
        <v>12.655796256133335</v>
      </c>
      <c r="E40" s="39">
        <v>1</v>
      </c>
      <c r="F40" s="75">
        <f t="shared" si="4"/>
        <v>51.446335888888882</v>
      </c>
      <c r="G40" s="75">
        <f t="shared" si="1"/>
        <v>16.452538217266667</v>
      </c>
      <c r="I40" s="5"/>
    </row>
    <row r="42" spans="1:14" ht="14.5" hidden="1" thickBot="1" x14ac:dyDescent="0.35">
      <c r="C42" s="208" t="s">
        <v>94</v>
      </c>
    </row>
    <row r="43" spans="1:14" s="21" customFormat="1" ht="41.25" hidden="1" customHeight="1" thickBot="1" x14ac:dyDescent="0.3">
      <c r="A43" s="187"/>
      <c r="B43" s="203" t="s">
        <v>15</v>
      </c>
      <c r="C43" s="204">
        <v>9.23</v>
      </c>
      <c r="D43" s="188"/>
      <c r="E43" s="189"/>
      <c r="F43" s="188"/>
      <c r="G43" s="188"/>
      <c r="I43" s="190"/>
    </row>
    <row r="44" spans="1:14" hidden="1" x14ac:dyDescent="0.3"/>
    <row r="45" spans="1:14" hidden="1" x14ac:dyDescent="0.3"/>
    <row r="46" spans="1:14" hidden="1" x14ac:dyDescent="0.3"/>
    <row r="47" spans="1:14" hidden="1" x14ac:dyDescent="0.3"/>
  </sheetData>
  <sheetProtection algorithmName="SHA-512" hashValue="ZbqIgW1VF7DsGXytfZvAt7REiZmoEdiwOUgtTlAtx9jIztA1Z4pl67m7r+l2ArYuo5DegYpeH++8gi7ZuX62bg==" saltValue="P/sO6PlE/WesUju3doNeGA==" spinCount="100000" sheet="1" objects="1" scenarios="1"/>
  <protectedRanges>
    <protectedRange sqref="M36" name="CALCULO RC"/>
    <protectedRange sqref="L8" name="RET TC_1"/>
    <protectedRange sqref="L23" name="DED_1"/>
    <protectedRange sqref="L26" name="RET TP_2"/>
  </protectedRanges>
  <mergeCells count="35">
    <mergeCell ref="I34:K34"/>
    <mergeCell ref="I36:L37"/>
    <mergeCell ref="M36:M37"/>
    <mergeCell ref="I20:M21"/>
    <mergeCell ref="I29:L30"/>
    <mergeCell ref="I32:I33"/>
    <mergeCell ref="J32:J33"/>
    <mergeCell ref="K32:K33"/>
    <mergeCell ref="L32:L33"/>
    <mergeCell ref="I23:K24"/>
    <mergeCell ref="L23:L24"/>
    <mergeCell ref="I26:K27"/>
    <mergeCell ref="L26:L27"/>
    <mergeCell ref="I16:I17"/>
    <mergeCell ref="J16:J17"/>
    <mergeCell ref="K16:K17"/>
    <mergeCell ref="L16:L17"/>
    <mergeCell ref="I18:J18"/>
    <mergeCell ref="I8:K9"/>
    <mergeCell ref="L8:L9"/>
    <mergeCell ref="I11:L12"/>
    <mergeCell ref="I14:I15"/>
    <mergeCell ref="J14:J15"/>
    <mergeCell ref="K14:K15"/>
    <mergeCell ref="L14:L15"/>
    <mergeCell ref="I4:I5"/>
    <mergeCell ref="J4:J5"/>
    <mergeCell ref="K4:K5"/>
    <mergeCell ref="L4:L5"/>
    <mergeCell ref="M4:M5"/>
    <mergeCell ref="A1:G1"/>
    <mergeCell ref="B2:D2"/>
    <mergeCell ref="F2:G2"/>
    <mergeCell ref="I2:K2"/>
    <mergeCell ref="L2:M2"/>
  </mergeCells>
  <phoneticPr fontId="0" type="noConversion"/>
  <hyperlinks>
    <hyperlink ref="M36:M37" r:id="rId1" display="CALCULO RC E INDEMNIZACION" xr:uid="{00000000-0004-0000-0500-000000000000}"/>
  </hyperlinks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Q45"/>
  <sheetViews>
    <sheetView zoomScaleNormal="100" workbookViewId="0">
      <selection activeCell="A40" sqref="A40:XFD45"/>
    </sheetView>
  </sheetViews>
  <sheetFormatPr baseColWidth="10" defaultRowHeight="13" x14ac:dyDescent="0.3"/>
  <cols>
    <col min="1" max="1" width="25.1796875" style="1" bestFit="1" customWidth="1"/>
    <col min="2" max="2" width="33.36328125" style="83" customWidth="1"/>
    <col min="3" max="3" width="11.36328125" style="84" hidden="1" customWidth="1"/>
    <col min="4" max="4" width="31.1796875" style="83" customWidth="1"/>
    <col min="5" max="5" width="11.453125" style="2" customWidth="1"/>
    <col min="6" max="6" width="21.1796875" style="2" customWidth="1"/>
    <col min="7" max="7" width="26" style="2" customWidth="1"/>
    <col min="8" max="8" width="26.81640625" style="2" customWidth="1"/>
    <col min="9" max="9" width="16.1796875" style="2" bestFit="1" customWidth="1"/>
    <col min="10" max="10" width="15.1796875" style="2" bestFit="1" customWidth="1"/>
    <col min="11" max="173" width="11.453125" style="2"/>
  </cols>
  <sheetData>
    <row r="1" spans="1:173" s="8" customFormat="1" ht="65.25" customHeight="1" x14ac:dyDescent="0.3">
      <c r="A1" s="250" t="s">
        <v>109</v>
      </c>
      <c r="B1" s="250"/>
      <c r="C1" s="250"/>
      <c r="D1" s="250"/>
      <c r="E1" s="17"/>
      <c r="F1" s="17"/>
      <c r="G1" s="17"/>
      <c r="H1" s="20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</row>
    <row r="2" spans="1:173" s="27" customFormat="1" ht="25.5" customHeight="1" x14ac:dyDescent="0.3">
      <c r="A2" s="77" t="s">
        <v>43</v>
      </c>
      <c r="B2" s="81" t="s">
        <v>44</v>
      </c>
      <c r="C2" s="82" t="s">
        <v>91</v>
      </c>
      <c r="D2" s="85" t="s">
        <v>111</v>
      </c>
      <c r="E2" s="80"/>
      <c r="F2" s="301" t="s">
        <v>48</v>
      </c>
      <c r="G2" s="302"/>
      <c r="H2" s="303"/>
      <c r="I2" s="301" t="s">
        <v>52</v>
      </c>
      <c r="J2" s="303"/>
      <c r="K2" s="36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  <c r="FO2" s="80"/>
      <c r="FP2" s="80"/>
      <c r="FQ2" s="80"/>
    </row>
    <row r="3" spans="1:173" s="78" customFormat="1" ht="15" customHeight="1" x14ac:dyDescent="0.3">
      <c r="A3" s="37">
        <v>37.5</v>
      </c>
      <c r="B3" s="71">
        <f>PARAMETROS!B8</f>
        <v>2416.2394827624998</v>
      </c>
      <c r="C3" s="72"/>
      <c r="D3" s="73">
        <f>IF(B3&lt;C3,C3*$H$18%,B3*$H$18%)</f>
        <v>772.71338658744753</v>
      </c>
      <c r="E3" s="34"/>
      <c r="F3" s="121" t="s">
        <v>47</v>
      </c>
      <c r="G3" s="121" t="s">
        <v>58</v>
      </c>
      <c r="H3" s="121" t="s">
        <v>59</v>
      </c>
      <c r="I3" s="122" t="s">
        <v>50</v>
      </c>
      <c r="J3" s="121" t="s">
        <v>51</v>
      </c>
      <c r="K3" s="27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</row>
    <row r="4" spans="1:173" s="79" customFormat="1" ht="15" customHeight="1" x14ac:dyDescent="0.3">
      <c r="A4" s="38">
        <v>36</v>
      </c>
      <c r="B4" s="73">
        <f>PRODUCT(PARAMETROS!B$8,A4)/A$3</f>
        <v>2319.5899034519998</v>
      </c>
      <c r="C4" s="74">
        <f t="shared" ref="C4:C39" si="0">(A4/$A$3*7.5*5)/7*30*$C$43</f>
        <v>1229.6571428571431</v>
      </c>
      <c r="D4" s="73">
        <f>IF(B4&lt;C4,C4*$H$18%,B4*$H$18%)</f>
        <v>741.80485112394956</v>
      </c>
      <c r="E4" s="34"/>
      <c r="F4" s="304">
        <v>5</v>
      </c>
      <c r="G4" s="254">
        <v>1323</v>
      </c>
      <c r="H4" s="254">
        <v>4720.5</v>
      </c>
      <c r="I4" s="258">
        <v>1323</v>
      </c>
      <c r="J4" s="258">
        <v>4720.5</v>
      </c>
      <c r="K4" s="8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</row>
    <row r="5" spans="1:173" s="79" customFormat="1" ht="15" customHeight="1" x14ac:dyDescent="0.3">
      <c r="A5" s="38">
        <v>35</v>
      </c>
      <c r="B5" s="73">
        <f>PRODUCT(PARAMETROS!B$8,A5)/A$3</f>
        <v>2255.1568505783334</v>
      </c>
      <c r="C5" s="74">
        <f t="shared" si="0"/>
        <v>1195.5</v>
      </c>
      <c r="D5" s="73">
        <f t="shared" ref="D5:D39" si="1">IF(B5&lt;C5,C5*$H$18%,B5*$H$18%)</f>
        <v>721.19916081495114</v>
      </c>
      <c r="E5" s="34"/>
      <c r="F5" s="305"/>
      <c r="G5" s="255"/>
      <c r="H5" s="255"/>
      <c r="I5" s="259"/>
      <c r="J5" s="259"/>
      <c r="K5" s="8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</row>
    <row r="6" spans="1:173" s="79" customFormat="1" ht="15" customHeight="1" x14ac:dyDescent="0.3">
      <c r="A6" s="38">
        <v>34</v>
      </c>
      <c r="B6" s="73">
        <f>PRODUCT(PARAMETROS!B$8,A6)/A$3</f>
        <v>2190.7237977046666</v>
      </c>
      <c r="C6" s="74">
        <f t="shared" si="0"/>
        <v>1161.3428571428569</v>
      </c>
      <c r="D6" s="73">
        <f t="shared" si="1"/>
        <v>700.5934705059525</v>
      </c>
      <c r="E6" s="34"/>
      <c r="F6" s="35"/>
      <c r="G6" s="8"/>
      <c r="H6" s="8"/>
      <c r="I6" s="112"/>
      <c r="J6" s="8"/>
      <c r="K6" s="8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</row>
    <row r="7" spans="1:173" s="79" customFormat="1" ht="15" customHeight="1" thickBot="1" x14ac:dyDescent="0.35">
      <c r="A7" s="38">
        <v>33</v>
      </c>
      <c r="B7" s="73">
        <f>PRODUCT(PARAMETROS!B$8,A7)/A$3</f>
        <v>2126.2907448309998</v>
      </c>
      <c r="C7" s="74">
        <f t="shared" si="0"/>
        <v>1127.1857142857143</v>
      </c>
      <c r="D7" s="73">
        <f t="shared" si="1"/>
        <v>679.98778019695374</v>
      </c>
      <c r="E7" s="34"/>
      <c r="F7" s="35"/>
      <c r="G7" s="19"/>
      <c r="H7" s="8"/>
      <c r="I7" s="112"/>
      <c r="J7" s="8"/>
      <c r="K7" s="8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</row>
    <row r="8" spans="1:173" s="79" customFormat="1" ht="15" customHeight="1" x14ac:dyDescent="0.3">
      <c r="A8" s="38">
        <v>32</v>
      </c>
      <c r="B8" s="73">
        <f>PRODUCT(PARAMETROS!B$8,A8)/A$3</f>
        <v>2061.8576919573334</v>
      </c>
      <c r="C8" s="74">
        <f t="shared" si="0"/>
        <v>1093.0285714285715</v>
      </c>
      <c r="D8" s="73">
        <f t="shared" si="1"/>
        <v>659.38208988795532</v>
      </c>
      <c r="E8" s="34"/>
      <c r="F8" s="228" t="s">
        <v>88</v>
      </c>
      <c r="G8" s="228"/>
      <c r="H8" s="229"/>
      <c r="I8" s="232">
        <v>0</v>
      </c>
      <c r="J8" s="8"/>
      <c r="K8" s="8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</row>
    <row r="9" spans="1:173" s="79" customFormat="1" ht="15" customHeight="1" thickBot="1" x14ac:dyDescent="0.35">
      <c r="A9" s="38">
        <v>31</v>
      </c>
      <c r="B9" s="73">
        <f>PRODUCT(PARAMETROS!B$8,A9)/A$3</f>
        <v>1997.4246390836668</v>
      </c>
      <c r="C9" s="74">
        <f t="shared" si="0"/>
        <v>1058.8714285714286</v>
      </c>
      <c r="D9" s="73">
        <f t="shared" si="1"/>
        <v>638.77639957895667</v>
      </c>
      <c r="E9" s="34"/>
      <c r="F9" s="228"/>
      <c r="G9" s="228"/>
      <c r="H9" s="229"/>
      <c r="I9" s="233"/>
      <c r="J9" s="8"/>
      <c r="K9" s="8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</row>
    <row r="10" spans="1:173" s="79" customFormat="1" ht="15" customHeight="1" thickBot="1" x14ac:dyDescent="0.35">
      <c r="A10" s="38">
        <v>30</v>
      </c>
      <c r="B10" s="73">
        <f>PRODUCT(PARAMETROS!B$8,A10)/A$3</f>
        <v>1932.9915862099997</v>
      </c>
      <c r="C10" s="74">
        <f t="shared" si="0"/>
        <v>1024.7142857142856</v>
      </c>
      <c r="D10" s="73">
        <f t="shared" si="1"/>
        <v>618.17070926995791</v>
      </c>
      <c r="E10" s="34"/>
      <c r="F10" s="117"/>
      <c r="G10" s="118"/>
      <c r="H10" s="119"/>
      <c r="I10" s="120"/>
      <c r="J10" s="8"/>
      <c r="K10" s="8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</row>
    <row r="11" spans="1:173" s="79" customFormat="1" ht="15" customHeight="1" x14ac:dyDescent="0.3">
      <c r="A11" s="38">
        <v>29</v>
      </c>
      <c r="B11" s="73">
        <f>PRODUCT(PARAMETROS!B$8,A11)/A$3</f>
        <v>1868.5585333363331</v>
      </c>
      <c r="C11" s="74">
        <f t="shared" si="0"/>
        <v>990.55714285714282</v>
      </c>
      <c r="D11" s="73">
        <f t="shared" si="1"/>
        <v>597.56501896095938</v>
      </c>
      <c r="E11" s="34"/>
      <c r="F11" s="234" t="s">
        <v>60</v>
      </c>
      <c r="G11" s="235"/>
      <c r="H11" s="235"/>
      <c r="I11" s="236"/>
      <c r="J11" s="8"/>
      <c r="K11" s="8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</row>
    <row r="12" spans="1:173" s="79" customFormat="1" ht="15" customHeight="1" thickBot="1" x14ac:dyDescent="0.35">
      <c r="A12" s="38">
        <v>28</v>
      </c>
      <c r="B12" s="73">
        <f>PRODUCT(PARAMETROS!B$8,A12)/A$3</f>
        <v>1804.1254804626667</v>
      </c>
      <c r="C12" s="74">
        <f t="shared" si="0"/>
        <v>956.4000000000002</v>
      </c>
      <c r="D12" s="73">
        <f t="shared" si="1"/>
        <v>576.95932865196085</v>
      </c>
      <c r="E12" s="34"/>
      <c r="F12" s="237"/>
      <c r="G12" s="238"/>
      <c r="H12" s="238"/>
      <c r="I12" s="239"/>
      <c r="J12" s="8"/>
      <c r="K12" s="8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</row>
    <row r="13" spans="1:173" s="79" customFormat="1" ht="15" customHeight="1" thickBot="1" x14ac:dyDescent="0.35">
      <c r="A13" s="38">
        <v>27</v>
      </c>
      <c r="B13" s="73">
        <f>PRODUCT(PARAMETROS!B$8,A13)/A$3</f>
        <v>1739.6924275889999</v>
      </c>
      <c r="C13" s="74">
        <f t="shared" si="0"/>
        <v>922.24285714285702</v>
      </c>
      <c r="D13" s="73">
        <f t="shared" si="1"/>
        <v>556.3536383429622</v>
      </c>
      <c r="E13" s="34"/>
      <c r="F13" s="114"/>
      <c r="G13" s="132" t="s">
        <v>53</v>
      </c>
      <c r="H13" s="130" t="s">
        <v>54</v>
      </c>
      <c r="I13" s="139" t="s">
        <v>55</v>
      </c>
      <c r="J13" s="8"/>
      <c r="K13" s="8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</row>
    <row r="14" spans="1:173" s="79" customFormat="1" ht="15" customHeight="1" x14ac:dyDescent="0.3">
      <c r="A14" s="38">
        <v>26</v>
      </c>
      <c r="B14" s="73">
        <f>PRODUCT(PARAMETROS!B$8,A14)/A$3</f>
        <v>1675.2593747153333</v>
      </c>
      <c r="C14" s="74">
        <f t="shared" si="0"/>
        <v>888.08571428571429</v>
      </c>
      <c r="D14" s="73">
        <f t="shared" si="1"/>
        <v>535.74794803396367</v>
      </c>
      <c r="E14" s="34"/>
      <c r="F14" s="245" t="s">
        <v>56</v>
      </c>
      <c r="G14" s="240">
        <f>IF(I8&gt;=G4,I8,G4)</f>
        <v>1323</v>
      </c>
      <c r="H14" s="224">
        <v>24.18</v>
      </c>
      <c r="I14" s="226">
        <f>G14*H14%</f>
        <v>319.90139999999997</v>
      </c>
      <c r="J14" s="8"/>
      <c r="K14" s="8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</row>
    <row r="15" spans="1:173" s="79" customFormat="1" ht="15" customHeight="1" thickBot="1" x14ac:dyDescent="0.35">
      <c r="A15" s="38">
        <v>25</v>
      </c>
      <c r="B15" s="73">
        <f>PRODUCT(PARAMETROS!B$8,A15)/A$3</f>
        <v>1610.8263218416666</v>
      </c>
      <c r="C15" s="74">
        <f t="shared" si="0"/>
        <v>853.92857142857144</v>
      </c>
      <c r="D15" s="73">
        <f t="shared" si="1"/>
        <v>515.14225772496502</v>
      </c>
      <c r="E15" s="34"/>
      <c r="F15" s="246"/>
      <c r="G15" s="241"/>
      <c r="H15" s="225"/>
      <c r="I15" s="227"/>
      <c r="J15" s="8"/>
      <c r="K15" s="8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</row>
    <row r="16" spans="1:173" s="79" customFormat="1" ht="15" customHeight="1" x14ac:dyDescent="0.3">
      <c r="A16" s="38">
        <v>24</v>
      </c>
      <c r="B16" s="73">
        <f>PRODUCT(PARAMETROS!B$8,A16)/A$3</f>
        <v>1546.393268968</v>
      </c>
      <c r="C16" s="74">
        <f t="shared" si="0"/>
        <v>819.77142857142849</v>
      </c>
      <c r="D16" s="73">
        <f t="shared" si="1"/>
        <v>494.53656741596643</v>
      </c>
      <c r="E16" s="34"/>
      <c r="F16" s="245" t="s">
        <v>57</v>
      </c>
      <c r="G16" s="240">
        <f>IF(I8&gt;=I4,I8,I4)</f>
        <v>1323</v>
      </c>
      <c r="H16" s="224">
        <v>7.8</v>
      </c>
      <c r="I16" s="226">
        <f>G16*H16%</f>
        <v>103.194</v>
      </c>
      <c r="J16" s="8"/>
      <c r="K16" s="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</row>
    <row r="17" spans="1:173" s="79" customFormat="1" ht="15" customHeight="1" thickBot="1" x14ac:dyDescent="0.35">
      <c r="A17" s="38">
        <v>23</v>
      </c>
      <c r="B17" s="73">
        <f>PRODUCT(PARAMETROS!B$8,A17)/A$3</f>
        <v>1481.9602160943332</v>
      </c>
      <c r="C17" s="74">
        <f t="shared" si="0"/>
        <v>785.61428571428564</v>
      </c>
      <c r="D17" s="73">
        <f t="shared" si="1"/>
        <v>473.93087710696778</v>
      </c>
      <c r="E17" s="34"/>
      <c r="F17" s="246"/>
      <c r="G17" s="241"/>
      <c r="H17" s="225"/>
      <c r="I17" s="227"/>
      <c r="J17" s="8"/>
      <c r="K17" s="8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</row>
    <row r="18" spans="1:173" s="79" customFormat="1" ht="15" customHeight="1" thickBot="1" x14ac:dyDescent="0.35">
      <c r="A18" s="38">
        <v>22</v>
      </c>
      <c r="B18" s="73">
        <f>PRODUCT(PARAMETROS!B$8,A18)/A$3</f>
        <v>1417.5271632206666</v>
      </c>
      <c r="C18" s="74">
        <f t="shared" si="0"/>
        <v>751.4571428571428</v>
      </c>
      <c r="D18" s="73">
        <f t="shared" si="1"/>
        <v>453.3251867979692</v>
      </c>
      <c r="E18" s="34"/>
      <c r="F18" s="260" t="s">
        <v>61</v>
      </c>
      <c r="G18" s="261"/>
      <c r="H18" s="131">
        <f>(H14+H16)</f>
        <v>31.98</v>
      </c>
      <c r="I18" s="127">
        <f>SUM(I14:I17)</f>
        <v>423.09539999999998</v>
      </c>
      <c r="J18" s="8"/>
      <c r="K18" s="8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</row>
    <row r="19" spans="1:173" s="79" customFormat="1" ht="15" customHeight="1" x14ac:dyDescent="0.3">
      <c r="A19" s="38">
        <v>21</v>
      </c>
      <c r="B19" s="73">
        <f>PRODUCT(PARAMETROS!B$8,A19)/A$3</f>
        <v>1353.094110347</v>
      </c>
      <c r="C19" s="74">
        <f t="shared" si="0"/>
        <v>717.3</v>
      </c>
      <c r="D19" s="73">
        <f t="shared" si="1"/>
        <v>432.71949648897061</v>
      </c>
      <c r="E19" s="34"/>
      <c r="F19" s="123"/>
      <c r="G19" s="124"/>
      <c r="H19" s="125"/>
      <c r="I19" s="126"/>
      <c r="J19" s="8"/>
      <c r="K19" s="8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</row>
    <row r="20" spans="1:173" s="79" customFormat="1" ht="15" customHeight="1" x14ac:dyDescent="0.3">
      <c r="A20" s="38">
        <v>20</v>
      </c>
      <c r="B20" s="73">
        <f>PRODUCT(PARAMETROS!B$8,A20)/A$3</f>
        <v>1288.6610574733331</v>
      </c>
      <c r="C20" s="74">
        <f t="shared" si="0"/>
        <v>683.14285714285722</v>
      </c>
      <c r="D20" s="73">
        <f t="shared" si="1"/>
        <v>412.11380617997196</v>
      </c>
      <c r="E20" s="34"/>
      <c r="F20" s="249" t="s">
        <v>75</v>
      </c>
      <c r="G20" s="249"/>
      <c r="H20" s="249"/>
      <c r="I20" s="249"/>
      <c r="J20" s="249"/>
      <c r="K20" s="14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</row>
    <row r="21" spans="1:173" s="79" customFormat="1" ht="15" customHeight="1" x14ac:dyDescent="0.3">
      <c r="A21" s="38">
        <v>19</v>
      </c>
      <c r="B21" s="73">
        <f>PRODUCT(PARAMETROS!B$8,A21)/A$3</f>
        <v>1224.2280045996667</v>
      </c>
      <c r="C21" s="74">
        <f t="shared" si="0"/>
        <v>648.98571428571427</v>
      </c>
      <c r="D21" s="73">
        <f t="shared" si="1"/>
        <v>391.50811587097348</v>
      </c>
      <c r="E21" s="34"/>
      <c r="F21" s="249"/>
      <c r="G21" s="249"/>
      <c r="H21" s="249"/>
      <c r="I21" s="249"/>
      <c r="J21" s="249"/>
      <c r="K21" s="14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</row>
    <row r="22" spans="1:173" s="79" customFormat="1" ht="15" customHeight="1" thickBot="1" x14ac:dyDescent="0.35">
      <c r="A22" s="38">
        <v>18</v>
      </c>
      <c r="B22" s="73">
        <f>PRODUCT(PARAMETROS!B$8,A22)/A$3</f>
        <v>1159.7949517259999</v>
      </c>
      <c r="C22" s="74">
        <f t="shared" si="0"/>
        <v>614.82857142857154</v>
      </c>
      <c r="D22" s="73">
        <f t="shared" si="1"/>
        <v>370.90242556197478</v>
      </c>
      <c r="E22" s="34"/>
      <c r="F22" s="35"/>
      <c r="G22" s="19"/>
      <c r="H22" s="8"/>
      <c r="I22" s="112"/>
      <c r="J22" s="8"/>
      <c r="K22" s="8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</row>
    <row r="23" spans="1:173" s="79" customFormat="1" ht="15" customHeight="1" x14ac:dyDescent="0.3">
      <c r="A23" s="38">
        <v>17</v>
      </c>
      <c r="B23" s="73">
        <f>PRODUCT(PARAMETROS!B$8,A23)/A$3</f>
        <v>1095.3618988523333</v>
      </c>
      <c r="C23" s="74">
        <f t="shared" si="0"/>
        <v>580.67142857142846</v>
      </c>
      <c r="D23" s="73">
        <f t="shared" si="1"/>
        <v>350.29673525297625</v>
      </c>
      <c r="E23" s="34"/>
      <c r="F23" s="228" t="s">
        <v>62</v>
      </c>
      <c r="G23" s="228"/>
      <c r="H23" s="229"/>
      <c r="I23" s="230">
        <v>0</v>
      </c>
      <c r="J23" s="8"/>
      <c r="K23" s="8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</row>
    <row r="24" spans="1:173" s="79" customFormat="1" ht="15" customHeight="1" thickBot="1" x14ac:dyDescent="0.35">
      <c r="A24" s="38">
        <v>16</v>
      </c>
      <c r="B24" s="73">
        <f>PRODUCT(PARAMETROS!B$8,A24)/A$3</f>
        <v>1030.9288459786667</v>
      </c>
      <c r="C24" s="74">
        <f t="shared" si="0"/>
        <v>546.51428571428573</v>
      </c>
      <c r="D24" s="73">
        <f t="shared" si="1"/>
        <v>329.69104494397766</v>
      </c>
      <c r="E24" s="34"/>
      <c r="F24" s="228"/>
      <c r="G24" s="228"/>
      <c r="H24" s="229"/>
      <c r="I24" s="231"/>
      <c r="J24" s="8"/>
      <c r="K24" s="8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</row>
    <row r="25" spans="1:173" s="79" customFormat="1" ht="15" customHeight="1" thickBot="1" x14ac:dyDescent="0.35">
      <c r="A25" s="38">
        <v>15</v>
      </c>
      <c r="B25" s="73">
        <f>PRODUCT(PARAMETROS!B$8,A25)/A$3</f>
        <v>966.49579310499985</v>
      </c>
      <c r="C25" s="74">
        <f t="shared" si="0"/>
        <v>512.35714285714278</v>
      </c>
      <c r="D25" s="73">
        <f t="shared" si="1"/>
        <v>309.08535463497896</v>
      </c>
      <c r="E25" s="34"/>
      <c r="F25" s="35"/>
      <c r="G25" s="19"/>
      <c r="H25" s="8"/>
      <c r="I25" s="112"/>
      <c r="J25" s="8"/>
      <c r="K25" s="8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</row>
    <row r="26" spans="1:173" s="79" customFormat="1" ht="15" customHeight="1" x14ac:dyDescent="0.3">
      <c r="A26" s="38">
        <v>14</v>
      </c>
      <c r="B26" s="73">
        <f>PRODUCT(PARAMETROS!B$8,A26)/A$3</f>
        <v>902.06274023133335</v>
      </c>
      <c r="C26" s="74">
        <f t="shared" si="0"/>
        <v>478.2000000000001</v>
      </c>
      <c r="D26" s="73">
        <f t="shared" si="1"/>
        <v>288.47966432598042</v>
      </c>
      <c r="E26" s="34"/>
      <c r="F26" s="228" t="s">
        <v>67</v>
      </c>
      <c r="G26" s="228"/>
      <c r="H26" s="229"/>
      <c r="I26" s="232">
        <v>0</v>
      </c>
      <c r="J26" s="8"/>
      <c r="K26" s="8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</row>
    <row r="27" spans="1:173" s="79" customFormat="1" ht="15" customHeight="1" thickBot="1" x14ac:dyDescent="0.35">
      <c r="A27" s="38">
        <v>13</v>
      </c>
      <c r="B27" s="73">
        <f>PRODUCT(PARAMETROS!B$8,A27)/A$3</f>
        <v>837.62968735766663</v>
      </c>
      <c r="C27" s="74">
        <f t="shared" si="0"/>
        <v>444.04285714285714</v>
      </c>
      <c r="D27" s="73">
        <f t="shared" si="1"/>
        <v>267.87397401698183</v>
      </c>
      <c r="E27" s="34"/>
      <c r="F27" s="228"/>
      <c r="G27" s="228"/>
      <c r="H27" s="229"/>
      <c r="I27" s="233"/>
      <c r="J27" s="8"/>
      <c r="K27" s="8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</row>
    <row r="28" spans="1:173" s="79" customFormat="1" ht="15" customHeight="1" thickBot="1" x14ac:dyDescent="0.35">
      <c r="A28" s="38">
        <v>12</v>
      </c>
      <c r="B28" s="73">
        <f>PRODUCT(PARAMETROS!B$8,A28)/A$3</f>
        <v>773.19663448400001</v>
      </c>
      <c r="C28" s="74">
        <f t="shared" si="0"/>
        <v>409.88571428571424</v>
      </c>
      <c r="D28" s="73">
        <f t="shared" si="1"/>
        <v>247.26828370798322</v>
      </c>
      <c r="E28" s="34"/>
      <c r="F28" s="35"/>
      <c r="G28" s="19"/>
      <c r="H28" s="8"/>
      <c r="I28" s="112"/>
      <c r="J28" s="8"/>
      <c r="K28" s="8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</row>
    <row r="29" spans="1:173" s="79" customFormat="1" ht="15" customHeight="1" x14ac:dyDescent="0.3">
      <c r="A29" s="38">
        <v>11</v>
      </c>
      <c r="B29" s="73">
        <f>PRODUCT(PARAMETROS!B$8,A29)/A$3</f>
        <v>708.76358161033329</v>
      </c>
      <c r="C29" s="74">
        <f t="shared" si="0"/>
        <v>375.7285714285714</v>
      </c>
      <c r="D29" s="73">
        <f t="shared" si="1"/>
        <v>226.6625933989846</v>
      </c>
      <c r="E29" s="34"/>
      <c r="F29" s="234" t="s">
        <v>63</v>
      </c>
      <c r="G29" s="235"/>
      <c r="H29" s="235"/>
      <c r="I29" s="236"/>
      <c r="J29" s="8"/>
      <c r="K29" s="8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</row>
    <row r="30" spans="1:173" s="79" customFormat="1" ht="15" customHeight="1" thickBot="1" x14ac:dyDescent="0.35">
      <c r="A30" s="38">
        <v>10</v>
      </c>
      <c r="B30" s="73">
        <f>PRODUCT(PARAMETROS!B$8,A30)/A$3</f>
        <v>644.33052873666657</v>
      </c>
      <c r="C30" s="74">
        <f t="shared" si="0"/>
        <v>341.57142857142861</v>
      </c>
      <c r="D30" s="73">
        <f t="shared" si="1"/>
        <v>206.05690308998598</v>
      </c>
      <c r="E30" s="34"/>
      <c r="F30" s="237"/>
      <c r="G30" s="238"/>
      <c r="H30" s="238"/>
      <c r="I30" s="239"/>
      <c r="J30" s="8"/>
      <c r="K30" s="8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</row>
    <row r="31" spans="1:173" s="79" customFormat="1" ht="15" customHeight="1" thickBot="1" x14ac:dyDescent="0.35">
      <c r="A31" s="38">
        <v>9</v>
      </c>
      <c r="B31" s="73">
        <f>PRODUCT(PARAMETROS!B$8,A31)/A$3</f>
        <v>579.89747586299995</v>
      </c>
      <c r="C31" s="74">
        <f t="shared" si="0"/>
        <v>307.41428571428577</v>
      </c>
      <c r="D31" s="73">
        <f t="shared" si="1"/>
        <v>185.45121278098739</v>
      </c>
      <c r="E31" s="34"/>
      <c r="F31" s="134" t="s">
        <v>68</v>
      </c>
      <c r="G31" s="132" t="s">
        <v>53</v>
      </c>
      <c r="H31" s="130" t="s">
        <v>69</v>
      </c>
      <c r="I31" s="116" t="s">
        <v>55</v>
      </c>
      <c r="J31" s="8"/>
      <c r="K31" s="8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</row>
    <row r="32" spans="1:173" s="79" customFormat="1" ht="15" customHeight="1" x14ac:dyDescent="0.3">
      <c r="A32" s="38">
        <v>8</v>
      </c>
      <c r="B32" s="73">
        <f>PRODUCT(PARAMETROS!B$8,A32)/A$3</f>
        <v>515.46442298933334</v>
      </c>
      <c r="C32" s="74">
        <f t="shared" si="0"/>
        <v>273.25714285714287</v>
      </c>
      <c r="D32" s="73">
        <f t="shared" si="1"/>
        <v>164.84552247198883</v>
      </c>
      <c r="E32" s="34"/>
      <c r="F32" s="306">
        <f>((I23/37.5*7.5*5)/7)*30*$C$43</f>
        <v>0</v>
      </c>
      <c r="G32" s="222">
        <f>IF(I26&lt;F32,F32,I26)</f>
        <v>0</v>
      </c>
      <c r="H32" s="224">
        <v>31.98</v>
      </c>
      <c r="I32" s="226">
        <f>G32*H32%</f>
        <v>0</v>
      </c>
      <c r="J32" s="8"/>
      <c r="K32" s="8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</row>
    <row r="33" spans="1:173" s="79" customFormat="1" ht="15" customHeight="1" thickBot="1" x14ac:dyDescent="0.35">
      <c r="A33" s="38">
        <v>7</v>
      </c>
      <c r="B33" s="73">
        <f>PRODUCT(PARAMETROS!B$8,A33)/A$3</f>
        <v>451.03137011566668</v>
      </c>
      <c r="C33" s="74">
        <f t="shared" si="0"/>
        <v>239.10000000000005</v>
      </c>
      <c r="D33" s="73">
        <f t="shared" si="1"/>
        <v>144.23983216299021</v>
      </c>
      <c r="E33" s="34"/>
      <c r="F33" s="221"/>
      <c r="G33" s="223"/>
      <c r="H33" s="225"/>
      <c r="I33" s="227"/>
      <c r="J33" s="8"/>
      <c r="K33" s="8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</row>
    <row r="34" spans="1:173" s="79" customFormat="1" ht="15" customHeight="1" thickBot="1" x14ac:dyDescent="0.35">
      <c r="A34" s="38">
        <v>6</v>
      </c>
      <c r="B34" s="73">
        <f>PRODUCT(PARAMETROS!B$8,A34)/A$3</f>
        <v>386.59831724200001</v>
      </c>
      <c r="C34" s="74">
        <f t="shared" si="0"/>
        <v>204.94285714285712</v>
      </c>
      <c r="D34" s="73">
        <f t="shared" si="1"/>
        <v>123.63414185399161</v>
      </c>
      <c r="E34" s="34"/>
      <c r="F34" s="215" t="s">
        <v>64</v>
      </c>
      <c r="G34" s="216"/>
      <c r="H34" s="217"/>
      <c r="I34" s="127">
        <f>SUM(I32)</f>
        <v>0</v>
      </c>
      <c r="J34" s="8"/>
      <c r="K34" s="8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</row>
    <row r="35" spans="1:173" s="79" customFormat="1" ht="15" customHeight="1" x14ac:dyDescent="0.3">
      <c r="A35" s="38">
        <v>5</v>
      </c>
      <c r="B35" s="73">
        <f>PRODUCT(PARAMETROS!B$8,A35)/A$3</f>
        <v>322.16526436833328</v>
      </c>
      <c r="C35" s="74">
        <f t="shared" si="0"/>
        <v>170.78571428571431</v>
      </c>
      <c r="D35" s="73">
        <f t="shared" si="1"/>
        <v>103.02845154499299</v>
      </c>
      <c r="E35" s="34"/>
      <c r="F35" s="35"/>
      <c r="G35" s="19"/>
      <c r="H35" s="8"/>
      <c r="I35" s="112"/>
      <c r="J35" s="8"/>
      <c r="K35" s="133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</row>
    <row r="36" spans="1:173" s="79" customFormat="1" ht="15" customHeight="1" x14ac:dyDescent="0.3">
      <c r="A36" s="38">
        <v>4</v>
      </c>
      <c r="B36" s="73">
        <f>PRODUCT(PARAMETROS!B$8,A36)/A$3</f>
        <v>257.73221149466667</v>
      </c>
      <c r="C36" s="74">
        <f t="shared" si="0"/>
        <v>136.62857142857143</v>
      </c>
      <c r="D36" s="73">
        <f t="shared" si="1"/>
        <v>82.422761235994415</v>
      </c>
      <c r="E36" s="34"/>
      <c r="F36" s="288" t="s">
        <v>66</v>
      </c>
      <c r="G36" s="288"/>
      <c r="H36" s="288"/>
      <c r="I36" s="219" t="s">
        <v>98</v>
      </c>
      <c r="J36" s="34"/>
      <c r="K36" s="133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</row>
    <row r="37" spans="1:173" s="79" customFormat="1" ht="15" customHeight="1" x14ac:dyDescent="0.3">
      <c r="A37" s="38">
        <v>3</v>
      </c>
      <c r="B37" s="73">
        <f>PRODUCT(PARAMETROS!B$8,A37)/A$3</f>
        <v>193.299158621</v>
      </c>
      <c r="C37" s="74">
        <f t="shared" si="0"/>
        <v>102.47142857142856</v>
      </c>
      <c r="D37" s="73">
        <f t="shared" si="1"/>
        <v>61.817070926995804</v>
      </c>
      <c r="E37" s="34"/>
      <c r="F37" s="288"/>
      <c r="G37" s="288"/>
      <c r="H37" s="288"/>
      <c r="I37" s="219"/>
      <c r="J37" s="34"/>
      <c r="K37" s="133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</row>
    <row r="38" spans="1:173" s="79" customFormat="1" ht="15" customHeight="1" x14ac:dyDescent="0.3">
      <c r="A38" s="38">
        <v>2</v>
      </c>
      <c r="B38" s="73">
        <f>PRODUCT(PARAMETROS!B$8,A38)/A$3</f>
        <v>128.86610574733334</v>
      </c>
      <c r="C38" s="74">
        <f t="shared" si="0"/>
        <v>68.314285714285717</v>
      </c>
      <c r="D38" s="73">
        <f t="shared" si="1"/>
        <v>41.211380617997207</v>
      </c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</row>
    <row r="39" spans="1:173" s="79" customFormat="1" ht="15" customHeight="1" x14ac:dyDescent="0.3">
      <c r="A39" s="39">
        <v>1</v>
      </c>
      <c r="B39" s="75">
        <f>PRODUCT(PARAMETROS!B$8,A39)/A$3</f>
        <v>64.433052873666668</v>
      </c>
      <c r="C39" s="76">
        <f t="shared" si="0"/>
        <v>34.157142857142858</v>
      </c>
      <c r="D39" s="75">
        <f t="shared" si="1"/>
        <v>20.605690308998604</v>
      </c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</row>
    <row r="40" spans="1:173" hidden="1" x14ac:dyDescent="0.3"/>
    <row r="41" spans="1:173" ht="13.5" hidden="1" x14ac:dyDescent="0.3">
      <c r="C41" s="208" t="s">
        <v>94</v>
      </c>
    </row>
    <row r="42" spans="1:173" ht="13.5" hidden="1" thickBot="1" x14ac:dyDescent="0.35"/>
    <row r="43" spans="1:173" s="8" customFormat="1" ht="27.5" hidden="1" thickBot="1" x14ac:dyDescent="0.35">
      <c r="A43" s="33"/>
      <c r="B43" s="203" t="s">
        <v>33</v>
      </c>
      <c r="C43" s="204">
        <v>7.97</v>
      </c>
      <c r="D43" s="106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</row>
    <row r="44" spans="1:173" hidden="1" x14ac:dyDescent="0.3"/>
    <row r="45" spans="1:173" hidden="1" x14ac:dyDescent="0.3"/>
  </sheetData>
  <sheetProtection algorithmName="SHA-512" hashValue="XxVbim8KCt/B3OcpWL+aVyETob0hu154uOvhN1qFfDI7zYbeWeE5MJqn6WiBH3QPIiGVhvMz/AV3suIOCXIjRw==" saltValue="48xJlmYfDhNJMJqYNM6DLQ==" spinCount="100000" sheet="1" objects="1" scenarios="1"/>
  <protectedRanges>
    <protectedRange sqref="I36" name="CALCULO RC"/>
    <protectedRange sqref="I8" name="RET TC_1"/>
    <protectedRange sqref="I23" name="DED_1"/>
    <protectedRange sqref="I26" name="RET TP_1"/>
  </protectedRanges>
  <mergeCells count="33">
    <mergeCell ref="F20:J21"/>
    <mergeCell ref="F36:H37"/>
    <mergeCell ref="F34:H34"/>
    <mergeCell ref="I36:I37"/>
    <mergeCell ref="F29:I30"/>
    <mergeCell ref="F32:F33"/>
    <mergeCell ref="G32:G33"/>
    <mergeCell ref="H32:H33"/>
    <mergeCell ref="I32:I33"/>
    <mergeCell ref="F23:H24"/>
    <mergeCell ref="I23:I24"/>
    <mergeCell ref="F26:H27"/>
    <mergeCell ref="I26:I27"/>
    <mergeCell ref="F16:F17"/>
    <mergeCell ref="G16:G17"/>
    <mergeCell ref="H16:H17"/>
    <mergeCell ref="I16:I17"/>
    <mergeCell ref="F18:G18"/>
    <mergeCell ref="F8:H9"/>
    <mergeCell ref="I8:I9"/>
    <mergeCell ref="F11:I12"/>
    <mergeCell ref="F14:F15"/>
    <mergeCell ref="G14:G15"/>
    <mergeCell ref="H14:H15"/>
    <mergeCell ref="I14:I15"/>
    <mergeCell ref="A1:D1"/>
    <mergeCell ref="F2:H2"/>
    <mergeCell ref="I2:J2"/>
    <mergeCell ref="F4:F5"/>
    <mergeCell ref="G4:G5"/>
    <mergeCell ref="H4:H5"/>
    <mergeCell ref="I4:I5"/>
    <mergeCell ref="J4:J5"/>
  </mergeCells>
  <phoneticPr fontId="0" type="noConversion"/>
  <hyperlinks>
    <hyperlink ref="I36:I37" r:id="rId1" display="CALCULO RC E INDEMNIZACION" xr:uid="{00000000-0004-0000-0600-000000000000}"/>
  </hyperlinks>
  <printOptions horizontalCentered="1"/>
  <pageMargins left="0.94488188976377963" right="0.94488188976377963" top="0" bottom="0.39370078740157483" header="0" footer="0"/>
  <pageSetup paperSize="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N47"/>
  <sheetViews>
    <sheetView tabSelected="1" topLeftCell="H16" zoomScaleNormal="100" workbookViewId="0">
      <selection activeCell="L23" sqref="L23"/>
    </sheetView>
  </sheetViews>
  <sheetFormatPr baseColWidth="10" defaultRowHeight="13" x14ac:dyDescent="0.3"/>
  <cols>
    <col min="1" max="1" width="25.1796875" style="1" bestFit="1" customWidth="1"/>
    <col min="2" max="2" width="35.81640625" style="1" customWidth="1"/>
    <col min="3" max="3" width="7.36328125" style="3" hidden="1" customWidth="1"/>
    <col min="4" max="4" width="32.81640625" style="1" customWidth="1"/>
    <col min="5" max="5" width="13.453125" customWidth="1"/>
    <col min="6" max="6" width="20.1796875" customWidth="1"/>
    <col min="7" max="7" width="26.453125" bestFit="1" customWidth="1"/>
    <col min="8" max="8" width="26.81640625" customWidth="1"/>
    <col min="9" max="9" width="17" customWidth="1"/>
    <col min="10" max="10" width="15.1796875" bestFit="1" customWidth="1"/>
  </cols>
  <sheetData>
    <row r="1" spans="1:170" s="8" customFormat="1" ht="65.25" customHeight="1" x14ac:dyDescent="0.3">
      <c r="A1" s="250" t="s">
        <v>110</v>
      </c>
      <c r="B1" s="250"/>
      <c r="C1" s="250"/>
      <c r="D1" s="250"/>
      <c r="E1" s="20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</row>
    <row r="2" spans="1:170" s="27" customFormat="1" ht="27" x14ac:dyDescent="0.3">
      <c r="A2" s="40" t="s">
        <v>43</v>
      </c>
      <c r="B2" s="65" t="s">
        <v>44</v>
      </c>
      <c r="C2" s="86" t="s">
        <v>92</v>
      </c>
      <c r="D2" s="67" t="s">
        <v>111</v>
      </c>
      <c r="E2" s="17"/>
      <c r="F2" s="301" t="s">
        <v>48</v>
      </c>
      <c r="G2" s="302"/>
      <c r="H2" s="303"/>
      <c r="I2" s="301" t="s">
        <v>52</v>
      </c>
      <c r="J2" s="303"/>
      <c r="K2" s="36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W2" s="80"/>
      <c r="X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  <c r="BT2" s="80"/>
      <c r="BU2" s="80"/>
      <c r="BV2" s="80"/>
      <c r="BW2" s="80"/>
      <c r="BX2" s="80"/>
      <c r="BY2" s="80"/>
      <c r="BZ2" s="80"/>
      <c r="CA2" s="80"/>
      <c r="CB2" s="80"/>
      <c r="CC2" s="80"/>
      <c r="CD2" s="80"/>
      <c r="CE2" s="80"/>
      <c r="CF2" s="80"/>
      <c r="CG2" s="80"/>
      <c r="CH2" s="80"/>
      <c r="CI2" s="80"/>
      <c r="CJ2" s="80"/>
      <c r="CK2" s="80"/>
      <c r="CL2" s="80"/>
      <c r="CM2" s="80"/>
      <c r="CN2" s="80"/>
      <c r="CO2" s="80"/>
      <c r="CP2" s="80"/>
      <c r="CQ2" s="80"/>
      <c r="CR2" s="80"/>
      <c r="CS2" s="80"/>
      <c r="CT2" s="80"/>
      <c r="CU2" s="80"/>
      <c r="CV2" s="80"/>
      <c r="CW2" s="80"/>
      <c r="CX2" s="80"/>
      <c r="CY2" s="80"/>
      <c r="CZ2" s="80"/>
      <c r="DA2" s="80"/>
      <c r="DB2" s="80"/>
      <c r="DC2" s="80"/>
      <c r="DD2" s="80"/>
      <c r="DE2" s="80"/>
      <c r="DF2" s="80"/>
      <c r="DG2" s="80"/>
      <c r="DH2" s="80"/>
      <c r="DI2" s="80"/>
      <c r="DJ2" s="80"/>
      <c r="DK2" s="80"/>
      <c r="DL2" s="80"/>
      <c r="DM2" s="80"/>
      <c r="DN2" s="80"/>
      <c r="DO2" s="80"/>
      <c r="DP2" s="80"/>
      <c r="DQ2" s="80"/>
      <c r="DR2" s="80"/>
      <c r="DS2" s="80"/>
      <c r="DT2" s="80"/>
      <c r="DU2" s="80"/>
      <c r="DV2" s="80"/>
      <c r="DW2" s="80"/>
      <c r="DX2" s="80"/>
      <c r="DY2" s="80"/>
      <c r="DZ2" s="80"/>
      <c r="EA2" s="80"/>
      <c r="EB2" s="80"/>
      <c r="EC2" s="80"/>
      <c r="ED2" s="80"/>
      <c r="EE2" s="80"/>
      <c r="EF2" s="80"/>
      <c r="EG2" s="80"/>
      <c r="EH2" s="80"/>
      <c r="EI2" s="80"/>
      <c r="EJ2" s="80"/>
      <c r="EK2" s="80"/>
      <c r="EL2" s="80"/>
      <c r="EM2" s="80"/>
      <c r="EN2" s="80"/>
      <c r="EO2" s="80"/>
      <c r="EP2" s="80"/>
      <c r="EQ2" s="80"/>
      <c r="ER2" s="80"/>
      <c r="ES2" s="80"/>
      <c r="ET2" s="80"/>
      <c r="EU2" s="80"/>
      <c r="EV2" s="80"/>
      <c r="EW2" s="80"/>
      <c r="EX2" s="80"/>
      <c r="EY2" s="80"/>
      <c r="EZ2" s="80"/>
      <c r="FA2" s="80"/>
      <c r="FB2" s="80"/>
      <c r="FC2" s="80"/>
      <c r="FD2" s="80"/>
      <c r="FE2" s="80"/>
      <c r="FF2" s="80"/>
      <c r="FG2" s="80"/>
      <c r="FH2" s="80"/>
      <c r="FI2" s="80"/>
      <c r="FJ2" s="80"/>
      <c r="FK2" s="80"/>
      <c r="FL2" s="80"/>
      <c r="FM2" s="80"/>
      <c r="FN2" s="80"/>
    </row>
    <row r="3" spans="1:170" ht="15" customHeight="1" x14ac:dyDescent="0.3">
      <c r="A3" s="37">
        <v>37.5</v>
      </c>
      <c r="B3" s="71">
        <f>PARAMETROS!B9</f>
        <v>2075.0986559499997</v>
      </c>
      <c r="C3" s="72"/>
      <c r="D3" s="73">
        <f>IF(B3&lt;C3,C3*$H$18%,B3*$H$18%)</f>
        <v>663.61655017280998</v>
      </c>
      <c r="F3" s="121" t="s">
        <v>47</v>
      </c>
      <c r="G3" s="121" t="s">
        <v>58</v>
      </c>
      <c r="H3" s="121" t="s">
        <v>59</v>
      </c>
      <c r="I3" s="122" t="s">
        <v>50</v>
      </c>
      <c r="J3" s="121" t="s">
        <v>51</v>
      </c>
      <c r="K3" s="27"/>
    </row>
    <row r="4" spans="1:170" ht="15" customHeight="1" x14ac:dyDescent="0.3">
      <c r="A4" s="38">
        <v>36</v>
      </c>
      <c r="B4" s="73">
        <f>PRODUCT(B$3,A4)/A$3</f>
        <v>1992.0947097119999</v>
      </c>
      <c r="C4" s="74">
        <f t="shared" ref="C4:C39" si="0">(A4/$A$3*7.5*5)/7*30*$C$43</f>
        <v>1229.6571428571431</v>
      </c>
      <c r="D4" s="73">
        <f>IF(B4&lt;C4,C4*$H$18%,B4*$H$18%)</f>
        <v>637.07188816589769</v>
      </c>
      <c r="F4" s="304">
        <v>7</v>
      </c>
      <c r="G4" s="254">
        <v>1323</v>
      </c>
      <c r="H4" s="254">
        <v>4720.5</v>
      </c>
      <c r="I4" s="258">
        <v>1323</v>
      </c>
      <c r="J4" s="258">
        <v>4720.5</v>
      </c>
      <c r="K4" s="8"/>
    </row>
    <row r="5" spans="1:170" ht="15" customHeight="1" x14ac:dyDescent="0.3">
      <c r="A5" s="38">
        <v>35</v>
      </c>
      <c r="B5" s="73">
        <f>PRODUCT(B$3,A5)/A$3</f>
        <v>1936.7587455533333</v>
      </c>
      <c r="C5" s="74">
        <f t="shared" si="0"/>
        <v>1195.5</v>
      </c>
      <c r="D5" s="73">
        <f t="shared" ref="D5:D39" si="1">IF(B5&lt;C5,C5*$H$18%,B5*$H$18%)</f>
        <v>619.37544682795601</v>
      </c>
      <c r="F5" s="305"/>
      <c r="G5" s="255"/>
      <c r="H5" s="255"/>
      <c r="I5" s="259"/>
      <c r="J5" s="259"/>
      <c r="K5" s="8"/>
    </row>
    <row r="6" spans="1:170" ht="15" customHeight="1" x14ac:dyDescent="0.3">
      <c r="A6" s="38">
        <v>34</v>
      </c>
      <c r="B6" s="73">
        <f t="shared" ref="B6:B39" si="2">PRODUCT(B$3,A6)/A$3</f>
        <v>1881.4227813946666</v>
      </c>
      <c r="C6" s="74">
        <f t="shared" si="0"/>
        <v>1161.3428571428569</v>
      </c>
      <c r="D6" s="73">
        <f t="shared" si="1"/>
        <v>601.67900549001445</v>
      </c>
      <c r="F6" s="35"/>
      <c r="G6" s="8"/>
      <c r="H6" s="8"/>
      <c r="I6" s="112"/>
      <c r="J6" s="8"/>
      <c r="K6" s="8"/>
    </row>
    <row r="7" spans="1:170" ht="15" customHeight="1" thickBot="1" x14ac:dyDescent="0.35">
      <c r="A7" s="38">
        <v>33</v>
      </c>
      <c r="B7" s="73">
        <f t="shared" si="2"/>
        <v>1826.0868172359999</v>
      </c>
      <c r="C7" s="74">
        <f t="shared" si="0"/>
        <v>1127.1857142857143</v>
      </c>
      <c r="D7" s="73">
        <f t="shared" si="1"/>
        <v>583.98256415207277</v>
      </c>
      <c r="F7" s="35"/>
      <c r="G7" s="19"/>
      <c r="H7" s="8"/>
      <c r="I7" s="112"/>
      <c r="J7" s="8"/>
      <c r="K7" s="8"/>
    </row>
    <row r="8" spans="1:170" ht="15" customHeight="1" x14ac:dyDescent="0.3">
      <c r="A8" s="38">
        <v>32</v>
      </c>
      <c r="B8" s="73">
        <f t="shared" si="2"/>
        <v>1770.7508530773332</v>
      </c>
      <c r="C8" s="74">
        <f t="shared" si="0"/>
        <v>1093.0285714285715</v>
      </c>
      <c r="D8" s="73">
        <f t="shared" si="1"/>
        <v>566.2861228141312</v>
      </c>
      <c r="F8" s="228" t="s">
        <v>88</v>
      </c>
      <c r="G8" s="228"/>
      <c r="H8" s="229"/>
      <c r="I8" s="232">
        <v>0</v>
      </c>
      <c r="J8" s="8"/>
      <c r="K8" s="8"/>
    </row>
    <row r="9" spans="1:170" ht="15" customHeight="1" thickBot="1" x14ac:dyDescent="0.35">
      <c r="A9" s="38">
        <v>31</v>
      </c>
      <c r="B9" s="73">
        <f t="shared" si="2"/>
        <v>1715.4148889186663</v>
      </c>
      <c r="C9" s="74">
        <f t="shared" si="0"/>
        <v>1058.8714285714286</v>
      </c>
      <c r="D9" s="73">
        <f t="shared" si="1"/>
        <v>548.58968147618953</v>
      </c>
      <c r="F9" s="228"/>
      <c r="G9" s="228"/>
      <c r="H9" s="229"/>
      <c r="I9" s="233"/>
      <c r="J9" s="8"/>
      <c r="K9" s="8"/>
    </row>
    <row r="10" spans="1:170" ht="15" customHeight="1" thickBot="1" x14ac:dyDescent="0.35">
      <c r="A10" s="38">
        <v>30</v>
      </c>
      <c r="B10" s="73">
        <f t="shared" si="2"/>
        <v>1660.0789247599996</v>
      </c>
      <c r="C10" s="74">
        <f t="shared" si="0"/>
        <v>1024.7142857142856</v>
      </c>
      <c r="D10" s="73">
        <f t="shared" si="1"/>
        <v>530.89324013824796</v>
      </c>
      <c r="F10" s="117"/>
      <c r="G10" s="118"/>
      <c r="H10" s="119"/>
      <c r="I10" s="120"/>
      <c r="J10" s="8"/>
      <c r="K10" s="8"/>
    </row>
    <row r="11" spans="1:170" ht="15" customHeight="1" x14ac:dyDescent="0.3">
      <c r="A11" s="38">
        <v>29</v>
      </c>
      <c r="B11" s="73">
        <f t="shared" si="2"/>
        <v>1604.7429606013332</v>
      </c>
      <c r="C11" s="74">
        <f t="shared" si="0"/>
        <v>990.55714285714282</v>
      </c>
      <c r="D11" s="73">
        <f t="shared" si="1"/>
        <v>513.1967988003064</v>
      </c>
      <c r="F11" s="234" t="s">
        <v>60</v>
      </c>
      <c r="G11" s="235"/>
      <c r="H11" s="235"/>
      <c r="I11" s="236"/>
      <c r="J11" s="8"/>
      <c r="K11" s="8"/>
    </row>
    <row r="12" spans="1:170" ht="15" customHeight="1" thickBot="1" x14ac:dyDescent="0.35">
      <c r="A12" s="38">
        <v>28</v>
      </c>
      <c r="B12" s="73">
        <f t="shared" si="2"/>
        <v>1549.4069964426665</v>
      </c>
      <c r="C12" s="74">
        <f t="shared" si="0"/>
        <v>956.4000000000002</v>
      </c>
      <c r="D12" s="73">
        <f t="shared" si="1"/>
        <v>495.50035746236478</v>
      </c>
      <c r="F12" s="237"/>
      <c r="G12" s="238"/>
      <c r="H12" s="238"/>
      <c r="I12" s="239"/>
      <c r="J12" s="8"/>
      <c r="K12" s="8"/>
    </row>
    <row r="13" spans="1:170" ht="15" customHeight="1" thickBot="1" x14ac:dyDescent="0.35">
      <c r="A13" s="38">
        <v>27</v>
      </c>
      <c r="B13" s="73">
        <f t="shared" si="2"/>
        <v>1494.0710322839998</v>
      </c>
      <c r="C13" s="74">
        <f t="shared" si="0"/>
        <v>922.24285714285702</v>
      </c>
      <c r="D13" s="73">
        <f t="shared" si="1"/>
        <v>477.80391612442315</v>
      </c>
      <c r="F13" s="114"/>
      <c r="G13" s="132" t="s">
        <v>53</v>
      </c>
      <c r="H13" s="130" t="s">
        <v>54</v>
      </c>
      <c r="I13" s="139" t="s">
        <v>55</v>
      </c>
      <c r="J13" s="8"/>
      <c r="K13" s="8"/>
    </row>
    <row r="14" spans="1:170" ht="15" customHeight="1" x14ac:dyDescent="0.3">
      <c r="A14" s="38">
        <v>26</v>
      </c>
      <c r="B14" s="73">
        <f t="shared" si="2"/>
        <v>1438.7350681253333</v>
      </c>
      <c r="C14" s="74">
        <f t="shared" si="0"/>
        <v>888.08571428571429</v>
      </c>
      <c r="D14" s="73">
        <f t="shared" si="1"/>
        <v>460.10747478648165</v>
      </c>
      <c r="F14" s="245" t="s">
        <v>56</v>
      </c>
      <c r="G14" s="240">
        <f>IF(I8&gt;=G4,I8,G4)</f>
        <v>1323</v>
      </c>
      <c r="H14" s="224">
        <v>24.18</v>
      </c>
      <c r="I14" s="226">
        <f>G14*H14%</f>
        <v>319.90139999999997</v>
      </c>
      <c r="J14" s="8"/>
      <c r="K14" s="8"/>
    </row>
    <row r="15" spans="1:170" ht="15" customHeight="1" thickBot="1" x14ac:dyDescent="0.35">
      <c r="A15" s="38">
        <v>25</v>
      </c>
      <c r="B15" s="73">
        <f t="shared" si="2"/>
        <v>1383.3991039666666</v>
      </c>
      <c r="C15" s="74">
        <f t="shared" si="0"/>
        <v>853.92857142857144</v>
      </c>
      <c r="D15" s="73">
        <f t="shared" si="1"/>
        <v>442.41103344854002</v>
      </c>
      <c r="F15" s="246"/>
      <c r="G15" s="241"/>
      <c r="H15" s="225"/>
      <c r="I15" s="227"/>
      <c r="J15" s="8"/>
      <c r="K15" s="8"/>
    </row>
    <row r="16" spans="1:170" ht="15" customHeight="1" x14ac:dyDescent="0.3">
      <c r="A16" s="38">
        <v>24</v>
      </c>
      <c r="B16" s="73">
        <f t="shared" si="2"/>
        <v>1328.0631398079997</v>
      </c>
      <c r="C16" s="74">
        <f t="shared" si="0"/>
        <v>819.77142857142849</v>
      </c>
      <c r="D16" s="73">
        <f t="shared" si="1"/>
        <v>424.71459211059835</v>
      </c>
      <c r="F16" s="245" t="s">
        <v>57</v>
      </c>
      <c r="G16" s="240">
        <f>IF(I8&gt;=I4,I8,I4)</f>
        <v>1323</v>
      </c>
      <c r="H16" s="224">
        <v>7.8</v>
      </c>
      <c r="I16" s="226">
        <f>G16*H16%</f>
        <v>103.194</v>
      </c>
      <c r="J16" s="8"/>
      <c r="K16" s="8"/>
    </row>
    <row r="17" spans="1:11" ht="15" customHeight="1" thickBot="1" x14ac:dyDescent="0.35">
      <c r="A17" s="38">
        <v>23</v>
      </c>
      <c r="B17" s="73">
        <f t="shared" si="2"/>
        <v>1272.727175649333</v>
      </c>
      <c r="C17" s="74">
        <f t="shared" si="0"/>
        <v>785.61428571428564</v>
      </c>
      <c r="D17" s="73">
        <f t="shared" si="1"/>
        <v>407.01815077265672</v>
      </c>
      <c r="F17" s="246"/>
      <c r="G17" s="241"/>
      <c r="H17" s="225"/>
      <c r="I17" s="227"/>
      <c r="J17" s="8"/>
      <c r="K17" s="8"/>
    </row>
    <row r="18" spans="1:11" ht="15" customHeight="1" thickBot="1" x14ac:dyDescent="0.35">
      <c r="A18" s="38">
        <v>22</v>
      </c>
      <c r="B18" s="73">
        <f t="shared" si="2"/>
        <v>1217.3912114906664</v>
      </c>
      <c r="C18" s="74">
        <f t="shared" si="0"/>
        <v>751.4571428571428</v>
      </c>
      <c r="D18" s="73">
        <f t="shared" si="1"/>
        <v>389.32170943471516</v>
      </c>
      <c r="F18" s="260" t="s">
        <v>61</v>
      </c>
      <c r="G18" s="261"/>
      <c r="H18" s="131">
        <f>(H14+H16)</f>
        <v>31.98</v>
      </c>
      <c r="I18" s="127">
        <f>SUM(I14:I17)</f>
        <v>423.09539999999998</v>
      </c>
      <c r="J18" s="8"/>
      <c r="K18" s="8"/>
    </row>
    <row r="19" spans="1:11" ht="15" customHeight="1" x14ac:dyDescent="0.3">
      <c r="A19" s="38">
        <v>21</v>
      </c>
      <c r="B19" s="73">
        <f t="shared" si="2"/>
        <v>1162.0552473319999</v>
      </c>
      <c r="C19" s="74">
        <f t="shared" si="0"/>
        <v>717.3</v>
      </c>
      <c r="D19" s="73">
        <f t="shared" si="1"/>
        <v>371.6252680967736</v>
      </c>
      <c r="F19" s="123"/>
      <c r="G19" s="124"/>
      <c r="H19" s="125"/>
      <c r="I19" s="126"/>
      <c r="J19" s="8"/>
      <c r="K19" s="8"/>
    </row>
    <row r="20" spans="1:11" ht="15" customHeight="1" x14ac:dyDescent="0.3">
      <c r="A20" s="38">
        <v>20</v>
      </c>
      <c r="B20" s="73">
        <f t="shared" si="2"/>
        <v>1106.7192831733332</v>
      </c>
      <c r="C20" s="74">
        <f t="shared" si="0"/>
        <v>683.14285714285722</v>
      </c>
      <c r="D20" s="73">
        <f t="shared" si="1"/>
        <v>353.92882675883197</v>
      </c>
      <c r="F20" s="249" t="s">
        <v>75</v>
      </c>
      <c r="G20" s="249"/>
      <c r="H20" s="249"/>
      <c r="I20" s="249"/>
      <c r="J20" s="249"/>
      <c r="K20" s="144"/>
    </row>
    <row r="21" spans="1:11" ht="15" customHeight="1" x14ac:dyDescent="0.3">
      <c r="A21" s="38">
        <v>19</v>
      </c>
      <c r="B21" s="73">
        <f t="shared" si="2"/>
        <v>1051.3833190146665</v>
      </c>
      <c r="C21" s="74">
        <f t="shared" si="0"/>
        <v>648.98571428571427</v>
      </c>
      <c r="D21" s="73">
        <f t="shared" si="1"/>
        <v>336.23238542089041</v>
      </c>
      <c r="F21" s="249"/>
      <c r="G21" s="249"/>
      <c r="H21" s="249"/>
      <c r="I21" s="249"/>
      <c r="J21" s="249"/>
      <c r="K21" s="144"/>
    </row>
    <row r="22" spans="1:11" ht="15" customHeight="1" thickBot="1" x14ac:dyDescent="0.35">
      <c r="A22" s="38">
        <v>18</v>
      </c>
      <c r="B22" s="73">
        <f t="shared" si="2"/>
        <v>996.04735485599997</v>
      </c>
      <c r="C22" s="74">
        <f t="shared" si="0"/>
        <v>614.82857142857154</v>
      </c>
      <c r="D22" s="73">
        <f t="shared" si="1"/>
        <v>318.53594408294884</v>
      </c>
      <c r="F22" s="35"/>
      <c r="G22" s="19"/>
      <c r="H22" s="8"/>
      <c r="I22" s="112"/>
      <c r="J22" s="8"/>
      <c r="K22" s="8"/>
    </row>
    <row r="23" spans="1:11" ht="15" customHeight="1" x14ac:dyDescent="0.3">
      <c r="A23" s="38">
        <v>17</v>
      </c>
      <c r="B23" s="73">
        <f t="shared" si="2"/>
        <v>940.71139069733329</v>
      </c>
      <c r="C23" s="74">
        <f t="shared" si="0"/>
        <v>580.67142857142846</v>
      </c>
      <c r="D23" s="73">
        <f t="shared" si="1"/>
        <v>300.83950274500722</v>
      </c>
      <c r="F23" s="228" t="s">
        <v>62</v>
      </c>
      <c r="G23" s="228"/>
      <c r="H23" s="229"/>
      <c r="I23" s="230"/>
      <c r="J23" s="8"/>
      <c r="K23" s="8"/>
    </row>
    <row r="24" spans="1:11" ht="15" customHeight="1" thickBot="1" x14ac:dyDescent="0.35">
      <c r="A24" s="38">
        <v>16</v>
      </c>
      <c r="B24" s="73">
        <f t="shared" si="2"/>
        <v>885.3754265386666</v>
      </c>
      <c r="C24" s="74">
        <f t="shared" si="0"/>
        <v>546.51428571428573</v>
      </c>
      <c r="D24" s="73">
        <f t="shared" si="1"/>
        <v>283.1430614070656</v>
      </c>
      <c r="F24" s="228"/>
      <c r="G24" s="228"/>
      <c r="H24" s="229"/>
      <c r="I24" s="231"/>
      <c r="J24" s="8"/>
      <c r="K24" s="8"/>
    </row>
    <row r="25" spans="1:11" ht="15" customHeight="1" thickBot="1" x14ac:dyDescent="0.35">
      <c r="A25" s="38">
        <v>15</v>
      </c>
      <c r="B25" s="73">
        <f t="shared" si="2"/>
        <v>830.0394623799998</v>
      </c>
      <c r="C25" s="74">
        <f t="shared" si="0"/>
        <v>512.35714285714278</v>
      </c>
      <c r="D25" s="73">
        <f t="shared" si="1"/>
        <v>265.44662006912398</v>
      </c>
      <c r="F25" s="35"/>
      <c r="G25" s="19"/>
      <c r="H25" s="8"/>
      <c r="I25" s="112"/>
      <c r="J25" s="8"/>
      <c r="K25" s="8"/>
    </row>
    <row r="26" spans="1:11" ht="15" customHeight="1" x14ac:dyDescent="0.3">
      <c r="A26" s="38">
        <v>14</v>
      </c>
      <c r="B26" s="73">
        <f t="shared" si="2"/>
        <v>774.70349822133323</v>
      </c>
      <c r="C26" s="74">
        <f t="shared" si="0"/>
        <v>478.2000000000001</v>
      </c>
      <c r="D26" s="73">
        <f t="shared" si="1"/>
        <v>247.75017873118239</v>
      </c>
      <c r="F26" s="228" t="s">
        <v>67</v>
      </c>
      <c r="G26" s="228"/>
      <c r="H26" s="229"/>
      <c r="I26" s="232"/>
      <c r="J26" s="8"/>
      <c r="K26" s="8"/>
    </row>
    <row r="27" spans="1:11" ht="15" customHeight="1" thickBot="1" x14ac:dyDescent="0.35">
      <c r="A27" s="38">
        <v>13</v>
      </c>
      <c r="B27" s="73">
        <f t="shared" si="2"/>
        <v>719.36753406266666</v>
      </c>
      <c r="C27" s="74">
        <f t="shared" si="0"/>
        <v>444.04285714285714</v>
      </c>
      <c r="D27" s="73">
        <f t="shared" si="1"/>
        <v>230.05373739324082</v>
      </c>
      <c r="F27" s="228"/>
      <c r="G27" s="228"/>
      <c r="H27" s="229"/>
      <c r="I27" s="233"/>
      <c r="J27" s="8"/>
      <c r="K27" s="8"/>
    </row>
    <row r="28" spans="1:11" ht="15" customHeight="1" thickBot="1" x14ac:dyDescent="0.35">
      <c r="A28" s="38">
        <v>12</v>
      </c>
      <c r="B28" s="73">
        <f t="shared" si="2"/>
        <v>664.03156990399987</v>
      </c>
      <c r="C28" s="74">
        <f t="shared" si="0"/>
        <v>409.88571428571424</v>
      </c>
      <c r="D28" s="73">
        <f t="shared" si="1"/>
        <v>212.35729605529917</v>
      </c>
      <c r="F28" s="35"/>
      <c r="G28" s="19"/>
      <c r="H28" s="8"/>
      <c r="I28" s="112"/>
      <c r="J28" s="8"/>
      <c r="K28" s="8"/>
    </row>
    <row r="29" spans="1:11" ht="15" customHeight="1" x14ac:dyDescent="0.3">
      <c r="A29" s="38">
        <v>11</v>
      </c>
      <c r="B29" s="73">
        <f t="shared" si="2"/>
        <v>608.69560574533318</v>
      </c>
      <c r="C29" s="74">
        <f t="shared" si="0"/>
        <v>375.7285714285714</v>
      </c>
      <c r="D29" s="73">
        <f t="shared" si="1"/>
        <v>194.66085471735758</v>
      </c>
      <c r="F29" s="234" t="s">
        <v>63</v>
      </c>
      <c r="G29" s="235"/>
      <c r="H29" s="235"/>
      <c r="I29" s="236"/>
      <c r="J29" s="8"/>
      <c r="K29" s="8"/>
    </row>
    <row r="30" spans="1:11" ht="15" customHeight="1" thickBot="1" x14ac:dyDescent="0.35">
      <c r="A30" s="38">
        <v>10</v>
      </c>
      <c r="B30" s="73">
        <f t="shared" si="2"/>
        <v>553.35964158666661</v>
      </c>
      <c r="C30" s="74">
        <f t="shared" si="0"/>
        <v>341.57142857142861</v>
      </c>
      <c r="D30" s="73">
        <f t="shared" si="1"/>
        <v>176.96441337941599</v>
      </c>
      <c r="F30" s="237"/>
      <c r="G30" s="238"/>
      <c r="H30" s="238"/>
      <c r="I30" s="239"/>
      <c r="J30" s="8"/>
      <c r="K30" s="8"/>
    </row>
    <row r="31" spans="1:11" ht="15" customHeight="1" thickBot="1" x14ac:dyDescent="0.35">
      <c r="A31" s="38">
        <v>9</v>
      </c>
      <c r="B31" s="73">
        <f t="shared" si="2"/>
        <v>498.02367742799998</v>
      </c>
      <c r="C31" s="74">
        <f t="shared" si="0"/>
        <v>307.41428571428577</v>
      </c>
      <c r="D31" s="73">
        <f t="shared" si="1"/>
        <v>159.26797204147442</v>
      </c>
      <c r="F31" s="134" t="s">
        <v>68</v>
      </c>
      <c r="G31" s="132" t="s">
        <v>53</v>
      </c>
      <c r="H31" s="130" t="s">
        <v>69</v>
      </c>
      <c r="I31" s="116" t="s">
        <v>55</v>
      </c>
      <c r="J31" s="8"/>
      <c r="K31" s="8"/>
    </row>
    <row r="32" spans="1:11" ht="15" customHeight="1" x14ac:dyDescent="0.3">
      <c r="A32" s="38">
        <v>8</v>
      </c>
      <c r="B32" s="73">
        <f t="shared" si="2"/>
        <v>442.6877132693333</v>
      </c>
      <c r="C32" s="74">
        <f t="shared" si="0"/>
        <v>273.25714285714287</v>
      </c>
      <c r="D32" s="73">
        <f t="shared" si="1"/>
        <v>141.5715307035328</v>
      </c>
      <c r="F32" s="306">
        <f>((I23/37.5*7.5*5)/7)*30*$C$43</f>
        <v>0</v>
      </c>
      <c r="G32" s="222">
        <f>IF(I26&lt;F32,F32,I26)</f>
        <v>0</v>
      </c>
      <c r="H32" s="224">
        <v>31.98</v>
      </c>
      <c r="I32" s="226">
        <f>G32*H32%</f>
        <v>0</v>
      </c>
      <c r="J32" s="8"/>
      <c r="K32" s="8"/>
    </row>
    <row r="33" spans="1:11" ht="15" customHeight="1" thickBot="1" x14ac:dyDescent="0.35">
      <c r="A33" s="38">
        <v>7</v>
      </c>
      <c r="B33" s="73">
        <f t="shared" si="2"/>
        <v>387.35174911066662</v>
      </c>
      <c r="C33" s="74">
        <f t="shared" si="0"/>
        <v>239.10000000000005</v>
      </c>
      <c r="D33" s="73">
        <f t="shared" si="1"/>
        <v>123.87508936559119</v>
      </c>
      <c r="F33" s="221"/>
      <c r="G33" s="223"/>
      <c r="H33" s="225"/>
      <c r="I33" s="227"/>
      <c r="J33" s="8"/>
      <c r="K33" s="8"/>
    </row>
    <row r="34" spans="1:11" ht="15" customHeight="1" thickBot="1" x14ac:dyDescent="0.35">
      <c r="A34" s="38">
        <v>6</v>
      </c>
      <c r="B34" s="73">
        <f t="shared" si="2"/>
        <v>332.01578495199993</v>
      </c>
      <c r="C34" s="74">
        <f t="shared" si="0"/>
        <v>204.94285714285712</v>
      </c>
      <c r="D34" s="73">
        <f t="shared" si="1"/>
        <v>106.17864802764959</v>
      </c>
      <c r="F34" s="215" t="s">
        <v>64</v>
      </c>
      <c r="G34" s="216"/>
      <c r="H34" s="217"/>
      <c r="I34" s="127">
        <f>SUM(I32)</f>
        <v>0</v>
      </c>
      <c r="J34" s="8"/>
      <c r="K34" s="8"/>
    </row>
    <row r="35" spans="1:11" ht="15" customHeight="1" x14ac:dyDescent="0.3">
      <c r="A35" s="38">
        <v>5</v>
      </c>
      <c r="B35" s="73">
        <f t="shared" si="2"/>
        <v>276.67982079333331</v>
      </c>
      <c r="C35" s="74">
        <f t="shared" si="0"/>
        <v>170.78571428571431</v>
      </c>
      <c r="D35" s="73">
        <f t="shared" si="1"/>
        <v>88.482206689707994</v>
      </c>
      <c r="F35" s="35"/>
      <c r="G35" s="19"/>
      <c r="H35" s="8"/>
      <c r="I35" s="112"/>
      <c r="J35" s="8"/>
      <c r="K35" s="133"/>
    </row>
    <row r="36" spans="1:11" ht="15" customHeight="1" x14ac:dyDescent="0.3">
      <c r="A36" s="38">
        <v>4</v>
      </c>
      <c r="B36" s="73">
        <f t="shared" si="2"/>
        <v>221.34385663466665</v>
      </c>
      <c r="C36" s="74">
        <f t="shared" si="0"/>
        <v>136.62857142857143</v>
      </c>
      <c r="D36" s="73">
        <f t="shared" si="1"/>
        <v>70.7857653517664</v>
      </c>
      <c r="F36" s="288" t="s">
        <v>66</v>
      </c>
      <c r="G36" s="288"/>
      <c r="H36" s="288"/>
      <c r="I36" s="219" t="s">
        <v>98</v>
      </c>
      <c r="K36" s="133"/>
    </row>
    <row r="37" spans="1:11" ht="15" customHeight="1" x14ac:dyDescent="0.3">
      <c r="A37" s="38">
        <v>3</v>
      </c>
      <c r="B37" s="73">
        <f t="shared" si="2"/>
        <v>166.00789247599997</v>
      </c>
      <c r="C37" s="74">
        <f t="shared" si="0"/>
        <v>102.47142857142856</v>
      </c>
      <c r="D37" s="73">
        <f t="shared" si="1"/>
        <v>53.089324013824793</v>
      </c>
      <c r="F37" s="288"/>
      <c r="G37" s="288"/>
      <c r="H37" s="288"/>
      <c r="I37" s="219"/>
      <c r="K37" s="133"/>
    </row>
    <row r="38" spans="1:11" ht="15" customHeight="1" x14ac:dyDescent="0.3">
      <c r="A38" s="38">
        <v>2</v>
      </c>
      <c r="B38" s="73">
        <f t="shared" si="2"/>
        <v>110.67192831733333</v>
      </c>
      <c r="C38" s="74">
        <f t="shared" si="0"/>
        <v>68.314285714285717</v>
      </c>
      <c r="D38" s="73">
        <f t="shared" si="1"/>
        <v>35.3928826758832</v>
      </c>
    </row>
    <row r="39" spans="1:11" ht="15" customHeight="1" x14ac:dyDescent="0.3">
      <c r="A39" s="39">
        <v>1</v>
      </c>
      <c r="B39" s="75">
        <f t="shared" si="2"/>
        <v>55.335964158666663</v>
      </c>
      <c r="C39" s="76">
        <f t="shared" si="0"/>
        <v>34.157142857142858</v>
      </c>
      <c r="D39" s="75">
        <f t="shared" si="1"/>
        <v>17.6964413379416</v>
      </c>
    </row>
    <row r="40" spans="1:11" hidden="1" x14ac:dyDescent="0.3"/>
    <row r="41" spans="1:11" hidden="1" x14ac:dyDescent="0.3">
      <c r="C41" s="209" t="s">
        <v>94</v>
      </c>
    </row>
    <row r="42" spans="1:11" ht="13.5" hidden="1" thickBot="1" x14ac:dyDescent="0.35"/>
    <row r="43" spans="1:11" ht="36" hidden="1" customHeight="1" thickBot="1" x14ac:dyDescent="0.3">
      <c r="B43" s="205" t="s">
        <v>16</v>
      </c>
      <c r="C43" s="206">
        <v>7.97</v>
      </c>
    </row>
    <row r="44" spans="1:11" hidden="1" x14ac:dyDescent="0.3"/>
    <row r="45" spans="1:11" hidden="1" x14ac:dyDescent="0.3"/>
    <row r="46" spans="1:11" hidden="1" x14ac:dyDescent="0.3"/>
    <row r="47" spans="1:11" hidden="1" x14ac:dyDescent="0.3"/>
  </sheetData>
  <sheetProtection algorithmName="SHA-512" hashValue="2SWnBuF5nBvyzC9ABr/lERHopyd9kEu1FGWn5IW6QGLxtld3S9qJgLBdiQeiDHIYVRnLw5aVWhiP9pBv7SfYOA==" saltValue="Ytldn48d24g8Qm5oqVomVw==" spinCount="100000" sheet="1" objects="1" scenarios="1"/>
  <protectedRanges>
    <protectedRange sqref="I36" name="CALCULO RC"/>
    <protectedRange sqref="I8" name="RET TP_1"/>
    <protectedRange sqref="I23" name="DED_1"/>
    <protectedRange sqref="I26" name="RET TP_2"/>
  </protectedRanges>
  <mergeCells count="33">
    <mergeCell ref="I36:I37"/>
    <mergeCell ref="H16:H17"/>
    <mergeCell ref="F36:H37"/>
    <mergeCell ref="F20:J21"/>
    <mergeCell ref="F32:F33"/>
    <mergeCell ref="G32:G33"/>
    <mergeCell ref="H32:H33"/>
    <mergeCell ref="I32:I33"/>
    <mergeCell ref="F34:H34"/>
    <mergeCell ref="F23:H24"/>
    <mergeCell ref="I23:I24"/>
    <mergeCell ref="F26:H27"/>
    <mergeCell ref="I26:I27"/>
    <mergeCell ref="F29:I30"/>
    <mergeCell ref="F16:F17"/>
    <mergeCell ref="G16:G17"/>
    <mergeCell ref="I16:I17"/>
    <mergeCell ref="F18:G18"/>
    <mergeCell ref="F8:H9"/>
    <mergeCell ref="I8:I9"/>
    <mergeCell ref="F11:I12"/>
    <mergeCell ref="F14:F15"/>
    <mergeCell ref="G14:G15"/>
    <mergeCell ref="H14:H15"/>
    <mergeCell ref="I14:I15"/>
    <mergeCell ref="A1:D1"/>
    <mergeCell ref="F2:H2"/>
    <mergeCell ref="I2:J2"/>
    <mergeCell ref="F4:F5"/>
    <mergeCell ref="G4:G5"/>
    <mergeCell ref="H4:H5"/>
    <mergeCell ref="I4:I5"/>
    <mergeCell ref="J4:J5"/>
  </mergeCells>
  <phoneticPr fontId="0" type="noConversion"/>
  <hyperlinks>
    <hyperlink ref="I36:I37" r:id="rId1" display="CALCULO RC E INDEMNIZACION" xr:uid="{00000000-0004-0000-0700-000000000000}"/>
  </hyperlinks>
  <printOptions horizontalCentered="1"/>
  <pageMargins left="1.71875" right="0.94488188976377963" top="0" bottom="0.39370078740157483" header="0" footer="0"/>
  <pageSetup paperSize="9" orientation="landscape" r:id="rId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published="0"/>
  <dimension ref="A1:K66"/>
  <sheetViews>
    <sheetView topLeftCell="A4" workbookViewId="0">
      <selection activeCell="D5" sqref="D5"/>
    </sheetView>
  </sheetViews>
  <sheetFormatPr baseColWidth="10" defaultColWidth="11.453125" defaultRowHeight="13.5" x14ac:dyDescent="0.3"/>
  <cols>
    <col min="1" max="1" width="35.54296875" style="8" customWidth="1"/>
    <col min="2" max="3" width="18.1796875" style="99" customWidth="1"/>
    <col min="4" max="4" width="23.54296875" style="8" bestFit="1" customWidth="1"/>
    <col min="5" max="5" width="36.1796875" style="8" customWidth="1"/>
    <col min="6" max="6" width="11.453125" style="8"/>
    <col min="7" max="7" width="32" style="8" bestFit="1" customWidth="1"/>
    <col min="8" max="8" width="14.453125" style="94" bestFit="1" customWidth="1"/>
    <col min="9" max="9" width="11.453125" style="8"/>
    <col min="10" max="11" width="20.81640625" style="8" bestFit="1" customWidth="1"/>
    <col min="12" max="16384" width="11.453125" style="8"/>
  </cols>
  <sheetData>
    <row r="1" spans="1:8" s="21" customFormat="1" ht="27.5" thickBot="1" x14ac:dyDescent="0.3">
      <c r="A1" s="26" t="s">
        <v>0</v>
      </c>
      <c r="B1" s="87" t="s">
        <v>11</v>
      </c>
      <c r="C1" s="87" t="s">
        <v>9</v>
      </c>
      <c r="H1" s="89"/>
    </row>
    <row r="2" spans="1:8" ht="16.5" customHeight="1" x14ac:dyDescent="0.3">
      <c r="A2" s="11" t="s">
        <v>32</v>
      </c>
      <c r="B2" s="96">
        <f>B16</f>
        <v>2770.1867375000002</v>
      </c>
      <c r="C2" s="96">
        <f>C16</f>
        <v>3601.2424875000006</v>
      </c>
      <c r="D2" s="9"/>
      <c r="E2" s="9"/>
      <c r="G2" s="10"/>
      <c r="H2" s="90"/>
    </row>
    <row r="3" spans="1:8" ht="16.5" customHeight="1" x14ac:dyDescent="0.3">
      <c r="A3" s="11" t="s">
        <v>31</v>
      </c>
      <c r="B3" s="96">
        <f>B23</f>
        <v>2275.5108249999998</v>
      </c>
      <c r="C3" s="96">
        <f>C23</f>
        <v>2958.1629874999994</v>
      </c>
      <c r="D3" s="9"/>
      <c r="E3" s="9"/>
      <c r="G3" s="10"/>
      <c r="H3" s="90"/>
    </row>
    <row r="4" spans="1:8" ht="16.5" customHeight="1" x14ac:dyDescent="0.3">
      <c r="A4" s="11" t="s">
        <v>30</v>
      </c>
      <c r="B4" s="96">
        <f>B30</f>
        <v>0</v>
      </c>
      <c r="C4" s="96">
        <f>C30</f>
        <v>0</v>
      </c>
      <c r="D4" s="16"/>
      <c r="E4" s="16"/>
      <c r="F4" s="34"/>
    </row>
    <row r="5" spans="1:8" ht="16.5" customHeight="1" x14ac:dyDescent="0.3">
      <c r="A5" s="11" t="s">
        <v>38</v>
      </c>
      <c r="B5" s="96">
        <f>B37</f>
        <v>1681.8991875000002</v>
      </c>
      <c r="C5" s="96">
        <f>C37</f>
        <v>2186.4684916666665</v>
      </c>
      <c r="D5" s="34"/>
      <c r="E5" s="34"/>
      <c r="F5" s="129"/>
    </row>
    <row r="6" spans="1:8" ht="16.5" customHeight="1" x14ac:dyDescent="0.3">
      <c r="A6" s="11" t="s">
        <v>39</v>
      </c>
      <c r="B6" s="96">
        <f>B44</f>
        <v>1582.9634625000001</v>
      </c>
      <c r="C6" s="96">
        <f>C44</f>
        <v>2057.8525916666667</v>
      </c>
      <c r="E6" s="34"/>
      <c r="F6" s="129"/>
    </row>
    <row r="7" spans="1:8" ht="18" customHeight="1" x14ac:dyDescent="0.3">
      <c r="A7" s="11" t="s">
        <v>40</v>
      </c>
      <c r="B7" s="96">
        <f>B51</f>
        <v>1484.0286416666668</v>
      </c>
      <c r="C7" s="96">
        <f>C51</f>
        <v>1929.237595833333</v>
      </c>
      <c r="E7" s="34"/>
      <c r="F7" s="129"/>
    </row>
    <row r="8" spans="1:8" ht="18.75" customHeight="1" x14ac:dyDescent="0.3">
      <c r="A8" s="11" t="s">
        <v>37</v>
      </c>
      <c r="B8" s="96">
        <f>F33</f>
        <v>2416.2394827624998</v>
      </c>
      <c r="C8" s="96"/>
      <c r="E8" s="34"/>
      <c r="F8" s="129"/>
    </row>
    <row r="9" spans="1:8" ht="19.5" customHeight="1" thickBot="1" x14ac:dyDescent="0.35">
      <c r="A9" s="22" t="s">
        <v>34</v>
      </c>
      <c r="B9" s="97">
        <f>F21</f>
        <v>2075.0986559499997</v>
      </c>
      <c r="C9" s="97"/>
      <c r="E9" s="34"/>
      <c r="F9" s="34"/>
    </row>
    <row r="10" spans="1:8" x14ac:dyDescent="0.3">
      <c r="A10" s="23"/>
      <c r="B10" s="98"/>
      <c r="C10" s="98"/>
      <c r="E10" s="34"/>
      <c r="F10" s="34"/>
    </row>
    <row r="11" spans="1:8" x14ac:dyDescent="0.3">
      <c r="E11" s="16"/>
      <c r="F11" s="16"/>
    </row>
    <row r="12" spans="1:8" ht="14" thickBot="1" x14ac:dyDescent="0.35">
      <c r="A12" s="14"/>
      <c r="D12" s="14"/>
      <c r="E12" s="17"/>
      <c r="F12" s="17"/>
    </row>
    <row r="13" spans="1:8" ht="27.5" thickBot="1" x14ac:dyDescent="0.35">
      <c r="A13" s="140" t="s">
        <v>32</v>
      </c>
      <c r="B13" s="141" t="s">
        <v>8</v>
      </c>
      <c r="C13" s="142" t="s">
        <v>10</v>
      </c>
      <c r="D13" s="14"/>
      <c r="E13" s="328" t="s">
        <v>28</v>
      </c>
      <c r="F13" s="329"/>
    </row>
    <row r="14" spans="1:8" ht="16.5" customHeight="1" thickTop="1" x14ac:dyDescent="0.35">
      <c r="A14" s="24" t="s">
        <v>12</v>
      </c>
      <c r="B14" s="100">
        <f>(D58)/12</f>
        <v>2680.825875</v>
      </c>
      <c r="C14" s="101">
        <f>(E58)/12</f>
        <v>3485.0733750000004</v>
      </c>
      <c r="D14" s="14"/>
      <c r="E14" s="32" t="s">
        <v>103</v>
      </c>
      <c r="F14" s="212">
        <v>702.91642049999996</v>
      </c>
    </row>
    <row r="15" spans="1:8" ht="16.5" customHeight="1" x14ac:dyDescent="0.35">
      <c r="A15" s="24" t="s">
        <v>2</v>
      </c>
      <c r="B15" s="100">
        <f>B14/30*12/12</f>
        <v>89.360862499999996</v>
      </c>
      <c r="C15" s="101">
        <f>C14/30*12/12</f>
        <v>116.16911250000003</v>
      </c>
      <c r="D15" s="14"/>
      <c r="E15" s="32" t="s">
        <v>5</v>
      </c>
      <c r="F15" s="213">
        <v>357.81057449999997</v>
      </c>
    </row>
    <row r="16" spans="1:8" ht="16.5" customHeight="1" x14ac:dyDescent="0.35">
      <c r="A16" s="25" t="s">
        <v>29</v>
      </c>
      <c r="B16" s="102">
        <f>SUM(B14:B15)</f>
        <v>2770.1867375000002</v>
      </c>
      <c r="C16" s="103">
        <f>SUM(C14:C15)</f>
        <v>3601.2424875000006</v>
      </c>
      <c r="D16" s="14"/>
      <c r="E16" s="32" t="s">
        <v>6</v>
      </c>
      <c r="F16" s="213">
        <v>659.02833224999995</v>
      </c>
    </row>
    <row r="17" spans="1:8" ht="16.5" customHeight="1" x14ac:dyDescent="0.3">
      <c r="A17" s="14"/>
      <c r="B17" s="99">
        <f>B16*12</f>
        <v>33242.240850000002</v>
      </c>
      <c r="C17" s="99">
        <f>C16*12</f>
        <v>43214.909850000011</v>
      </c>
      <c r="D17" s="14"/>
      <c r="E17" s="32" t="s">
        <v>2</v>
      </c>
      <c r="F17" s="91">
        <f>SUM(F14:F16)/30*12/12</f>
        <v>57.325177574999998</v>
      </c>
      <c r="G17" s="8" t="s">
        <v>17</v>
      </c>
    </row>
    <row r="18" spans="1:8" x14ac:dyDescent="0.3">
      <c r="A18" s="14"/>
      <c r="D18" s="14"/>
      <c r="E18" s="32" t="s">
        <v>104</v>
      </c>
      <c r="F18" s="91">
        <v>74.760000000000005</v>
      </c>
    </row>
    <row r="19" spans="1:8" x14ac:dyDescent="0.3">
      <c r="A19" s="14"/>
      <c r="D19" s="14"/>
      <c r="E19" s="32"/>
      <c r="F19" s="92"/>
    </row>
    <row r="20" spans="1:8" ht="27.5" thickBot="1" x14ac:dyDescent="0.35">
      <c r="A20" s="140" t="s">
        <v>31</v>
      </c>
      <c r="B20" s="141" t="s">
        <v>8</v>
      </c>
      <c r="C20" s="142" t="s">
        <v>10</v>
      </c>
      <c r="D20" s="14"/>
      <c r="E20" s="32" t="s">
        <v>1</v>
      </c>
      <c r="F20" s="91">
        <f>(696.51+F15+F16)/6</f>
        <v>285.55815112499999</v>
      </c>
    </row>
    <row r="21" spans="1:8" ht="16.5" customHeight="1" thickTop="1" thickBot="1" x14ac:dyDescent="0.35">
      <c r="A21" s="24" t="s">
        <v>12</v>
      </c>
      <c r="B21" s="100">
        <f>(D59)/12</f>
        <v>2202.10725</v>
      </c>
      <c r="C21" s="101">
        <f>(E59)/12</f>
        <v>2862.7383749999995</v>
      </c>
      <c r="D21" s="14"/>
      <c r="E21" s="15" t="s">
        <v>35</v>
      </c>
      <c r="F21" s="93">
        <f>SUM(F14:F17)+(F18/6)+F20</f>
        <v>2075.0986559499997</v>
      </c>
      <c r="G21" s="17"/>
      <c r="H21" s="95"/>
    </row>
    <row r="22" spans="1:8" ht="16.5" customHeight="1" x14ac:dyDescent="0.3">
      <c r="A22" s="24" t="s">
        <v>2</v>
      </c>
      <c r="B22" s="100">
        <f>B21/30*12/12</f>
        <v>73.403575000000004</v>
      </c>
      <c r="C22" s="101">
        <f>C21/30*12/12</f>
        <v>95.424612499999981</v>
      </c>
      <c r="D22" s="14"/>
      <c r="F22" s="94">
        <f>F21*12</f>
        <v>24901.183871399997</v>
      </c>
    </row>
    <row r="23" spans="1:8" ht="16.5" customHeight="1" x14ac:dyDescent="0.3">
      <c r="A23" s="25" t="s">
        <v>29</v>
      </c>
      <c r="B23" s="102">
        <f>SUM(B21:B22)</f>
        <v>2275.5108249999998</v>
      </c>
      <c r="C23" s="103">
        <f>SUM(C21:C22)</f>
        <v>2958.1629874999994</v>
      </c>
      <c r="D23" s="14"/>
      <c r="F23" s="94"/>
    </row>
    <row r="24" spans="1:8" ht="14" thickBot="1" x14ac:dyDescent="0.35">
      <c r="A24" s="14"/>
      <c r="B24" s="99">
        <f>B23*12</f>
        <v>27306.1299</v>
      </c>
      <c r="C24" s="99">
        <f>C23*12</f>
        <v>35497.955849999991</v>
      </c>
      <c r="D24" s="14"/>
      <c r="F24" s="94"/>
    </row>
    <row r="25" spans="1:8" ht="19.5" customHeight="1" thickBot="1" x14ac:dyDescent="0.35">
      <c r="A25" s="14"/>
      <c r="D25" s="14"/>
      <c r="E25" s="328" t="s">
        <v>27</v>
      </c>
      <c r="F25" s="329"/>
    </row>
    <row r="26" spans="1:8" ht="14.5" x14ac:dyDescent="0.35">
      <c r="B26" s="104"/>
      <c r="C26" s="104"/>
      <c r="D26" s="18"/>
      <c r="E26" s="32" t="s">
        <v>105</v>
      </c>
      <c r="F26" s="211">
        <v>844.5752144999999</v>
      </c>
    </row>
    <row r="27" spans="1:8" ht="28" thickBot="1" x14ac:dyDescent="0.4">
      <c r="A27" s="143" t="s">
        <v>30</v>
      </c>
      <c r="B27" s="141" t="s">
        <v>8</v>
      </c>
      <c r="C27" s="142" t="s">
        <v>10</v>
      </c>
      <c r="D27" s="13"/>
      <c r="E27" s="32" t="s">
        <v>3</v>
      </c>
      <c r="F27" s="213">
        <v>463.11199199999999</v>
      </c>
    </row>
    <row r="28" spans="1:8" ht="16.5" customHeight="1" thickTop="1" x14ac:dyDescent="0.35">
      <c r="A28" s="24" t="s">
        <v>12</v>
      </c>
      <c r="B28" s="100">
        <f>(D60)/12</f>
        <v>0</v>
      </c>
      <c r="C28" s="101">
        <f>(E60)/12</f>
        <v>0</v>
      </c>
      <c r="D28" s="13"/>
      <c r="E28" s="32" t="s">
        <v>4</v>
      </c>
      <c r="F28" s="213">
        <v>708.32610675000001</v>
      </c>
    </row>
    <row r="29" spans="1:8" ht="16.5" customHeight="1" x14ac:dyDescent="0.3">
      <c r="A29" s="24" t="s">
        <v>2</v>
      </c>
      <c r="B29" s="100">
        <v>0</v>
      </c>
      <c r="C29" s="101">
        <v>0</v>
      </c>
      <c r="D29" s="13"/>
      <c r="E29" s="32" t="s">
        <v>2</v>
      </c>
      <c r="F29" s="91">
        <f>SUM(F26:F28)/30*12/12</f>
        <v>67.200443774999997</v>
      </c>
      <c r="G29" s="8" t="s">
        <v>17</v>
      </c>
    </row>
    <row r="30" spans="1:8" ht="16.5" customHeight="1" x14ac:dyDescent="0.35">
      <c r="A30" s="25" t="s">
        <v>29</v>
      </c>
      <c r="B30" s="102">
        <f>SUM(B28:B29)</f>
        <v>0</v>
      </c>
      <c r="C30" s="103">
        <f>SUM(C28:C29)</f>
        <v>0</v>
      </c>
      <c r="D30" s="13"/>
      <c r="E30" s="32" t="s">
        <v>113</v>
      </c>
      <c r="F30" s="213">
        <v>96.756255675000006</v>
      </c>
    </row>
    <row r="31" spans="1:8" x14ac:dyDescent="0.3">
      <c r="A31" s="17"/>
      <c r="B31" s="105"/>
      <c r="C31" s="105"/>
      <c r="D31" s="13"/>
      <c r="E31" s="32"/>
      <c r="F31" s="92"/>
    </row>
    <row r="32" spans="1:8" x14ac:dyDescent="0.3">
      <c r="A32" s="17"/>
      <c r="B32" s="105"/>
      <c r="C32" s="105"/>
      <c r="D32" s="13"/>
      <c r="E32" s="32" t="s">
        <v>1</v>
      </c>
      <c r="F32" s="91">
        <f>(729.96+F27+F28)/6</f>
        <v>316.89968312500002</v>
      </c>
    </row>
    <row r="33" spans="1:6" ht="14" thickBot="1" x14ac:dyDescent="0.35">
      <c r="E33" s="15" t="s">
        <v>36</v>
      </c>
      <c r="F33" s="93">
        <f>SUM(F26:F29)+(F30/6)+F32</f>
        <v>2416.2394827624998</v>
      </c>
    </row>
    <row r="34" spans="1:6" ht="27.5" thickBot="1" x14ac:dyDescent="0.35">
      <c r="A34" s="140" t="s">
        <v>38</v>
      </c>
      <c r="B34" s="141" t="s">
        <v>8</v>
      </c>
      <c r="C34" s="142" t="s">
        <v>10</v>
      </c>
      <c r="D34" s="13"/>
      <c r="F34" s="8">
        <f>F33*12</f>
        <v>28994.87379315</v>
      </c>
    </row>
    <row r="35" spans="1:6" ht="16.5" customHeight="1" thickTop="1" x14ac:dyDescent="0.3">
      <c r="A35" s="24" t="s">
        <v>12</v>
      </c>
      <c r="B35" s="100">
        <f>(D62)/12</f>
        <v>1627.6443750000001</v>
      </c>
      <c r="C35" s="101">
        <f>(E62)/12</f>
        <v>2115.9372499999999</v>
      </c>
      <c r="D35" s="13"/>
    </row>
    <row r="36" spans="1:6" ht="16.5" customHeight="1" x14ac:dyDescent="0.3">
      <c r="A36" s="24" t="s">
        <v>2</v>
      </c>
      <c r="B36" s="100">
        <f>B35/30*12/12</f>
        <v>54.254812499999993</v>
      </c>
      <c r="C36" s="101">
        <f>C35/30*12/12</f>
        <v>70.531241666666659</v>
      </c>
      <c r="D36" s="13"/>
    </row>
    <row r="37" spans="1:6" ht="16.5" customHeight="1" x14ac:dyDescent="0.3">
      <c r="A37" s="25" t="s">
        <v>29</v>
      </c>
      <c r="B37" s="102">
        <f>SUM(B35:B36)</f>
        <v>1681.8991875000002</v>
      </c>
      <c r="C37" s="103">
        <f>SUM(C35:C36)</f>
        <v>2186.4684916666665</v>
      </c>
      <c r="D37" s="13"/>
    </row>
    <row r="38" spans="1:6" x14ac:dyDescent="0.3">
      <c r="A38" s="17"/>
      <c r="B38" s="105">
        <f>B37*12</f>
        <v>20182.790250000002</v>
      </c>
      <c r="C38" s="105">
        <f>C37*12</f>
        <v>26237.621899999998</v>
      </c>
      <c r="D38" s="13"/>
    </row>
    <row r="39" spans="1:6" x14ac:dyDescent="0.3">
      <c r="A39" s="17"/>
      <c r="B39" s="105"/>
      <c r="C39" s="105"/>
      <c r="D39" s="13"/>
    </row>
    <row r="40" spans="1:6" x14ac:dyDescent="0.3">
      <c r="B40" s="104"/>
      <c r="C40" s="104"/>
      <c r="D40" s="13"/>
    </row>
    <row r="41" spans="1:6" ht="27.5" thickBot="1" x14ac:dyDescent="0.35">
      <c r="A41" s="140" t="s">
        <v>39</v>
      </c>
      <c r="B41" s="141" t="s">
        <v>8</v>
      </c>
      <c r="C41" s="142" t="s">
        <v>10</v>
      </c>
      <c r="D41" s="13"/>
    </row>
    <row r="42" spans="1:6" ht="16.5" customHeight="1" thickTop="1" x14ac:dyDescent="0.3">
      <c r="A42" s="24" t="s">
        <v>12</v>
      </c>
      <c r="B42" s="100">
        <f>(D63)/12</f>
        <v>1531.9001250000001</v>
      </c>
      <c r="C42" s="101">
        <f>(E63)/12</f>
        <v>1991.4702500000001</v>
      </c>
      <c r="D42" s="13"/>
    </row>
    <row r="43" spans="1:6" ht="16.5" customHeight="1" x14ac:dyDescent="0.3">
      <c r="A43" s="24" t="s">
        <v>7</v>
      </c>
      <c r="B43" s="100">
        <f>B42/30*12/12</f>
        <v>51.06333750000001</v>
      </c>
      <c r="C43" s="101">
        <f>C42/30*12/12</f>
        <v>66.382341666666676</v>
      </c>
      <c r="D43" s="13"/>
    </row>
    <row r="44" spans="1:6" ht="16.5" customHeight="1" x14ac:dyDescent="0.3">
      <c r="A44" s="25" t="s">
        <v>29</v>
      </c>
      <c r="B44" s="102">
        <f>SUM(B42:B43)</f>
        <v>1582.9634625000001</v>
      </c>
      <c r="C44" s="103">
        <f>SUM(C42:C43)</f>
        <v>2057.8525916666667</v>
      </c>
      <c r="D44" s="13"/>
    </row>
    <row r="45" spans="1:6" x14ac:dyDescent="0.3">
      <c r="A45" s="17"/>
      <c r="B45" s="105">
        <f>B44*12</f>
        <v>18995.561550000002</v>
      </c>
      <c r="C45" s="105">
        <f>C44*12</f>
        <v>24694.231100000001</v>
      </c>
      <c r="D45" s="13"/>
    </row>
    <row r="46" spans="1:6" x14ac:dyDescent="0.3">
      <c r="A46" s="17"/>
      <c r="B46" s="105"/>
      <c r="C46" s="105"/>
      <c r="D46" s="13"/>
    </row>
    <row r="47" spans="1:6" x14ac:dyDescent="0.3">
      <c r="A47" s="12"/>
      <c r="B47" s="88"/>
      <c r="C47" s="88"/>
      <c r="D47" s="13"/>
    </row>
    <row r="48" spans="1:6" ht="27.5" thickBot="1" x14ac:dyDescent="0.35">
      <c r="A48" s="140" t="s">
        <v>96</v>
      </c>
      <c r="B48" s="141" t="s">
        <v>8</v>
      </c>
      <c r="C48" s="142" t="s">
        <v>10</v>
      </c>
      <c r="D48" s="13"/>
    </row>
    <row r="49" spans="1:11" ht="16.5" customHeight="1" thickTop="1" x14ac:dyDescent="0.3">
      <c r="A49" s="24" t="s">
        <v>12</v>
      </c>
      <c r="B49" s="100">
        <f>(D64)/12</f>
        <v>1436.1567500000001</v>
      </c>
      <c r="C49" s="101">
        <f>(E64)/12</f>
        <v>1867.0041249999997</v>
      </c>
    </row>
    <row r="50" spans="1:11" ht="16.5" customHeight="1" x14ac:dyDescent="0.3">
      <c r="A50" s="24" t="s">
        <v>2</v>
      </c>
      <c r="B50" s="100">
        <f>B49/30*12/12</f>
        <v>47.87189166666667</v>
      </c>
      <c r="C50" s="101">
        <f>C49/30*12/12</f>
        <v>62.233470833333321</v>
      </c>
      <c r="D50" s="19"/>
    </row>
    <row r="51" spans="1:11" ht="16.5" customHeight="1" x14ac:dyDescent="0.3">
      <c r="A51" s="25" t="s">
        <v>29</v>
      </c>
      <c r="B51" s="102">
        <f>SUM(B49:B50)</f>
        <v>1484.0286416666668</v>
      </c>
      <c r="C51" s="103">
        <f>SUM(C49:C50)</f>
        <v>1929.237595833333</v>
      </c>
      <c r="D51" s="20"/>
    </row>
    <row r="52" spans="1:11" x14ac:dyDescent="0.3">
      <c r="B52" s="99">
        <f>B51*12</f>
        <v>17808.343700000001</v>
      </c>
      <c r="C52" s="99">
        <f>C51*12</f>
        <v>23150.851149999995</v>
      </c>
      <c r="D52" s="18"/>
    </row>
    <row r="54" spans="1:11" ht="14" thickBot="1" x14ac:dyDescent="0.35"/>
    <row r="55" spans="1:11" ht="12.75" customHeight="1" x14ac:dyDescent="0.3">
      <c r="A55" s="320" t="s">
        <v>102</v>
      </c>
      <c r="B55" s="320"/>
      <c r="C55" s="330"/>
      <c r="D55" s="28" t="s">
        <v>18</v>
      </c>
      <c r="E55" s="28" t="s">
        <v>18</v>
      </c>
      <c r="G55" s="320" t="s">
        <v>101</v>
      </c>
      <c r="H55" s="320"/>
      <c r="I55" s="316"/>
      <c r="J55" s="110" t="s">
        <v>18</v>
      </c>
      <c r="K55" s="110" t="s">
        <v>18</v>
      </c>
    </row>
    <row r="56" spans="1:11" ht="14" thickBot="1" x14ac:dyDescent="0.35">
      <c r="A56" s="321"/>
      <c r="B56" s="321"/>
      <c r="C56" s="331"/>
      <c r="D56" s="29" t="s">
        <v>19</v>
      </c>
      <c r="E56" s="29" t="s">
        <v>20</v>
      </c>
      <c r="G56" s="321"/>
      <c r="H56" s="321"/>
      <c r="I56" s="317"/>
      <c r="J56" s="111" t="s">
        <v>19</v>
      </c>
      <c r="K56" s="111" t="s">
        <v>20</v>
      </c>
    </row>
    <row r="57" spans="1:11" ht="14" thickBot="1" x14ac:dyDescent="0.35">
      <c r="A57" s="322" t="s">
        <v>21</v>
      </c>
      <c r="B57" s="323"/>
      <c r="C57" s="323"/>
      <c r="D57" s="323"/>
      <c r="E57" s="325"/>
      <c r="G57" s="307" t="s">
        <v>21</v>
      </c>
      <c r="H57" s="308"/>
      <c r="I57" s="308"/>
      <c r="J57" s="308"/>
      <c r="K57" s="309"/>
    </row>
    <row r="58" spans="1:11" ht="18" customHeight="1" x14ac:dyDescent="0.3">
      <c r="A58" s="326"/>
      <c r="B58" s="318" t="s">
        <v>41</v>
      </c>
      <c r="C58" s="319"/>
      <c r="D58" s="107">
        <f>5%*J58+J58</f>
        <v>32169.910499999998</v>
      </c>
      <c r="E58" s="107">
        <f>5%*K58+K58</f>
        <v>41820.880500000007</v>
      </c>
      <c r="G58" s="310"/>
      <c r="H58" s="318" t="s">
        <v>41</v>
      </c>
      <c r="I58" s="319"/>
      <c r="J58" s="107">
        <v>30638.01</v>
      </c>
      <c r="K58" s="107">
        <v>39829.410000000003</v>
      </c>
    </row>
    <row r="59" spans="1:11" ht="18" customHeight="1" x14ac:dyDescent="0.3">
      <c r="A59" s="326"/>
      <c r="B59" s="318" t="s">
        <v>42</v>
      </c>
      <c r="C59" s="319"/>
      <c r="D59" s="107">
        <f>5%*J59+J59</f>
        <v>26425.287</v>
      </c>
      <c r="E59" s="107">
        <f>5%*K59+K59</f>
        <v>34352.860499999995</v>
      </c>
      <c r="G59" s="310"/>
      <c r="H59" s="318" t="s">
        <v>42</v>
      </c>
      <c r="I59" s="319"/>
      <c r="J59" s="107">
        <v>25166.94</v>
      </c>
      <c r="K59" s="107">
        <v>32717.01</v>
      </c>
    </row>
    <row r="60" spans="1:11" ht="18" customHeight="1" thickBot="1" x14ac:dyDescent="0.35">
      <c r="A60" s="326"/>
      <c r="B60" s="318" t="s">
        <v>22</v>
      </c>
      <c r="C60" s="319"/>
      <c r="D60" s="135"/>
      <c r="E60" s="107"/>
      <c r="G60" s="310"/>
      <c r="H60" s="318" t="s">
        <v>22</v>
      </c>
      <c r="I60" s="319"/>
      <c r="J60" s="107"/>
      <c r="K60" s="107"/>
    </row>
    <row r="61" spans="1:11" ht="14" thickBot="1" x14ac:dyDescent="0.35">
      <c r="A61" s="322" t="s">
        <v>23</v>
      </c>
      <c r="B61" s="323"/>
      <c r="C61" s="323"/>
      <c r="D61" s="324"/>
      <c r="E61" s="325"/>
      <c r="G61" s="307" t="s">
        <v>23</v>
      </c>
      <c r="H61" s="308"/>
      <c r="I61" s="308"/>
      <c r="J61" s="308"/>
      <c r="K61" s="309"/>
    </row>
    <row r="62" spans="1:11" ht="18" customHeight="1" thickBot="1" x14ac:dyDescent="0.35">
      <c r="A62" s="326"/>
      <c r="B62" s="312" t="s">
        <v>24</v>
      </c>
      <c r="C62" s="312"/>
      <c r="D62" s="108">
        <f>5%*J62+J62</f>
        <v>19531.732500000002</v>
      </c>
      <c r="E62" s="108">
        <f>5%*K62+K62</f>
        <v>25391.246999999999</v>
      </c>
      <c r="G62" s="310"/>
      <c r="H62" s="312" t="s">
        <v>24</v>
      </c>
      <c r="I62" s="312"/>
      <c r="J62" s="108">
        <v>18601.650000000001</v>
      </c>
      <c r="K62" s="108">
        <v>24182.14</v>
      </c>
    </row>
    <row r="63" spans="1:11" ht="18" customHeight="1" thickBot="1" x14ac:dyDescent="0.35">
      <c r="A63" s="326"/>
      <c r="B63" s="313" t="s">
        <v>25</v>
      </c>
      <c r="C63" s="313"/>
      <c r="D63" s="109">
        <f>5%*J63+J63</f>
        <v>18382.801500000001</v>
      </c>
      <c r="E63" s="108">
        <f t="shared" ref="E63:E64" si="0">5%*K63+K63</f>
        <v>23897.643</v>
      </c>
      <c r="G63" s="310"/>
      <c r="H63" s="313" t="s">
        <v>25</v>
      </c>
      <c r="I63" s="313"/>
      <c r="J63" s="210">
        <v>17507.43</v>
      </c>
      <c r="K63" s="210">
        <v>22759.66</v>
      </c>
    </row>
    <row r="64" spans="1:11" ht="18" customHeight="1" x14ac:dyDescent="0.3">
      <c r="A64" s="326"/>
      <c r="B64" s="314" t="s">
        <v>26</v>
      </c>
      <c r="C64" s="314"/>
      <c r="D64" s="109">
        <f>5%*J64+J64</f>
        <v>17233.881000000001</v>
      </c>
      <c r="E64" s="108">
        <f t="shared" si="0"/>
        <v>22404.049499999997</v>
      </c>
      <c r="G64" s="310"/>
      <c r="H64" s="314" t="s">
        <v>26</v>
      </c>
      <c r="I64" s="314"/>
      <c r="J64" s="109">
        <v>16413.22</v>
      </c>
      <c r="K64" s="109">
        <v>21337.19</v>
      </c>
    </row>
    <row r="65" spans="1:11" ht="18" customHeight="1" x14ac:dyDescent="0.3">
      <c r="A65" s="326"/>
      <c r="B65" s="314" t="s">
        <v>27</v>
      </c>
      <c r="C65" s="314"/>
      <c r="D65" s="30"/>
      <c r="E65" s="30"/>
      <c r="G65" s="310"/>
      <c r="H65" s="314" t="s">
        <v>27</v>
      </c>
      <c r="I65" s="314"/>
      <c r="J65" s="30"/>
      <c r="K65" s="30"/>
    </row>
    <row r="66" spans="1:11" ht="18" customHeight="1" thickBot="1" x14ac:dyDescent="0.35">
      <c r="A66" s="327"/>
      <c r="B66" s="315" t="s">
        <v>28</v>
      </c>
      <c r="C66" s="315"/>
      <c r="D66" s="31"/>
      <c r="E66" s="31"/>
      <c r="G66" s="311"/>
      <c r="H66" s="315" t="s">
        <v>28</v>
      </c>
      <c r="I66" s="315"/>
      <c r="J66" s="31"/>
      <c r="K66" s="31"/>
    </row>
  </sheetData>
  <mergeCells count="30">
    <mergeCell ref="B60:C60"/>
    <mergeCell ref="B59:C59"/>
    <mergeCell ref="B58:C58"/>
    <mergeCell ref="A58:A60"/>
    <mergeCell ref="E13:F13"/>
    <mergeCell ref="A55:B56"/>
    <mergeCell ref="C55:C56"/>
    <mergeCell ref="A57:E57"/>
    <mergeCell ref="E25:F25"/>
    <mergeCell ref="A61:E61"/>
    <mergeCell ref="A62:A66"/>
    <mergeCell ref="B62:C62"/>
    <mergeCell ref="B63:C63"/>
    <mergeCell ref="B64:C64"/>
    <mergeCell ref="B65:C65"/>
    <mergeCell ref="B66:C66"/>
    <mergeCell ref="I55:I56"/>
    <mergeCell ref="G57:K57"/>
    <mergeCell ref="G58:G60"/>
    <mergeCell ref="H58:I58"/>
    <mergeCell ref="H59:I59"/>
    <mergeCell ref="H60:I60"/>
    <mergeCell ref="G55:H56"/>
    <mergeCell ref="G61:K61"/>
    <mergeCell ref="G62:G66"/>
    <mergeCell ref="H62:I62"/>
    <mergeCell ref="H63:I63"/>
    <mergeCell ref="H64:I64"/>
    <mergeCell ref="H65:I65"/>
    <mergeCell ref="H66:I66"/>
  </mergeCells>
  <phoneticPr fontId="0" type="noConversion"/>
  <pageMargins left="0.74803149606299213" right="0.31496062992125984" top="0.98425196850393704" bottom="0.98425196850393704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14</vt:i4>
      </vt:variant>
    </vt:vector>
  </HeadingPairs>
  <TitlesOfParts>
    <vt:vector size="23" baseType="lpstr">
      <vt:lpstr>INVESTIGADOR SENIOR</vt:lpstr>
      <vt:lpstr>INVESTIGADOR JUNIOR</vt:lpstr>
      <vt:lpstr>INVEST. EN FORMACIÓN-PRÁCTICAS</vt:lpstr>
      <vt:lpstr>TITULADOS SUPERIORES I</vt:lpstr>
      <vt:lpstr>TITULADOS SUPERIORES II</vt:lpstr>
      <vt:lpstr>TITULADOS DE GRADO MEDIO</vt:lpstr>
      <vt:lpstr>ESPECIALISTAS TECNICOS</vt:lpstr>
      <vt:lpstr>AUXILIARES</vt:lpstr>
      <vt:lpstr>PARAMETROS</vt:lpstr>
      <vt:lpstr>AUXILIARES!Área_de_impresión</vt:lpstr>
      <vt:lpstr>'INVEST. EN FORMACIÓN-PRÁCTICAS'!Área_de_impresión</vt:lpstr>
      <vt:lpstr>'INVESTIGADOR JUNIOR'!Área_de_impresión</vt:lpstr>
      <vt:lpstr>'INVESTIGADOR SENIOR'!Área_de_impresión</vt:lpstr>
      <vt:lpstr>'TITULADOS DE GRADO MEDIO'!Área_de_impresión</vt:lpstr>
      <vt:lpstr>'TITULADOS SUPERIORES I'!Área_de_impresión</vt:lpstr>
      <vt:lpstr>'TITULADOS SUPERIORES II'!Área_de_impresión</vt:lpstr>
      <vt:lpstr>AUXILIARES!Títulos_a_imprimir</vt:lpstr>
      <vt:lpstr>'INVEST. EN FORMACIÓN-PRÁCTICAS'!Títulos_a_imprimir</vt:lpstr>
      <vt:lpstr>'INVESTIGADOR JUNIOR'!Títulos_a_imprimir</vt:lpstr>
      <vt:lpstr>'INVESTIGADOR SENIOR'!Títulos_a_imprimir</vt:lpstr>
      <vt:lpstr>'TITULADOS DE GRADO MEDIO'!Títulos_a_imprimir</vt:lpstr>
      <vt:lpstr>'TITULADOS SUPERIORES I'!Títulos_a_imprimir</vt:lpstr>
      <vt:lpstr>'TITULADOS SUPERIORES II'!Títulos_a_imprimir</vt:lpstr>
    </vt:vector>
  </TitlesOfParts>
  <Company>oscar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gcremades@umh.es</dc:creator>
  <cp:lastModifiedBy>Fuentes Garcia, Susana</cp:lastModifiedBy>
  <cp:lastPrinted>2023-02-20T09:51:06Z</cp:lastPrinted>
  <dcterms:created xsi:type="dcterms:W3CDTF">2003-11-11T19:24:53Z</dcterms:created>
  <dcterms:modified xsi:type="dcterms:W3CDTF">2024-04-17T07:10:41Z</dcterms:modified>
</cp:coreProperties>
</file>