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+General\ESTADISTICAS ISA\PRESUPUESTOS\PRESUPUESTOS 2024\Anexo Presupuesto I+D  01.01.24\TABLAS SALARIALES 2024\Actualización Salario Mínimo 16.04.24\"/>
    </mc:Choice>
  </mc:AlternateContent>
  <xr:revisionPtr revIDLastSave="0" documentId="8_{D91466BE-8658-46CA-8D3E-E6EC8DFC4D10}" xr6:coauthVersionLast="47" xr6:coauthVersionMax="47" xr10:uidLastSave="{00000000-0000-0000-0000-000000000000}"/>
  <workbookProtection workbookAlgorithmName="SHA-512" workbookHashValue="BjjQOI2OoyKXzclz4C8SyzgLE+zdp0KtiaEXIJwreyHtqkTGVJHXdJNYt/KF/XFENmFBpDSsDzONYyyQN+GQow==" workbookSaltValue="cSWAK8yKr6+07infFfjXxg==" workbookSpinCount="100000" lockStructure="1"/>
  <bookViews>
    <workbookView xWindow="-110" yWindow="-110" windowWidth="19420" windowHeight="10420" firstSheet="3" activeTab="5" xr2:uid="{00000000-000D-0000-FFFF-FFFF00000000}"/>
  </bookViews>
  <sheets>
    <sheet name="DOCTORES" sheetId="7" state="hidden" r:id="rId1"/>
    <sheet name="(A) LICENCIADOS-INGEN-ARQU" sheetId="1" r:id="rId2"/>
    <sheet name="(B) DIPLO MADOS" sheetId="5" state="hidden" r:id="rId3"/>
    <sheet name="(C) TECNICO ESPEC LAB FP2 " sheetId="4" r:id="rId4"/>
    <sheet name="(D) AUX ADM-LAB (FP1- GR ESCOL)" sheetId="2" r:id="rId5"/>
    <sheet name="(D) AUX. SERVICIOS" sheetId="8" r:id="rId6"/>
    <sheet name="Hoja1" sheetId="9" state="hidden" r:id="rId7"/>
    <sheet name="PARAMETROS" sheetId="3" state="hidden" r:id="rId8"/>
  </sheets>
  <definedNames>
    <definedName name="RETRIBUCION">'(A) LICENCIADOS-INGEN-ARQU'!$D$2:$E$2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3" l="1"/>
  <c r="G19" i="3"/>
  <c r="G8" i="3" l="1"/>
  <c r="C22" i="3" l="1"/>
  <c r="B12" i="3" l="1"/>
  <c r="C11" i="3" l="1"/>
  <c r="H15" i="8" l="1"/>
  <c r="J15" i="8" s="1"/>
  <c r="G31" i="8"/>
  <c r="H31" i="8" s="1"/>
  <c r="J31" i="8" s="1"/>
  <c r="J33" i="8" s="1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" i="8"/>
  <c r="I17" i="8"/>
  <c r="H13" i="8"/>
  <c r="J13" i="8" s="1"/>
  <c r="J17" i="8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" i="2"/>
  <c r="G31" i="2"/>
  <c r="H31" i="2" s="1"/>
  <c r="J31" i="2" s="1"/>
  <c r="J33" i="2" s="1"/>
  <c r="H15" i="2"/>
  <c r="J15" i="2" s="1"/>
  <c r="H13" i="2"/>
  <c r="J13" i="2" s="1"/>
  <c r="I17" i="2"/>
  <c r="G31" i="4"/>
  <c r="H31" i="4" s="1"/>
  <c r="J31" i="4" s="1"/>
  <c r="J33" i="4" s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" i="4"/>
  <c r="I17" i="4"/>
  <c r="H15" i="4"/>
  <c r="J15" i="4" s="1"/>
  <c r="H13" i="4"/>
  <c r="J13" i="4" s="1"/>
  <c r="J13" i="5"/>
  <c r="J17" i="2" l="1"/>
  <c r="J17" i="4"/>
  <c r="I32" i="1"/>
  <c r="C5" i="1"/>
  <c r="I32" i="7" l="1"/>
  <c r="I31" i="5" l="1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5" i="5"/>
  <c r="J31" i="5"/>
  <c r="L31" i="5" s="1"/>
  <c r="L33" i="5" s="1"/>
  <c r="K17" i="5"/>
  <c r="J15" i="5"/>
  <c r="L15" i="5" s="1"/>
  <c r="L13" i="5"/>
  <c r="J32" i="1"/>
  <c r="L32" i="1" s="1"/>
  <c r="L34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K18" i="1"/>
  <c r="J16" i="1"/>
  <c r="L16" i="1" s="1"/>
  <c r="J14" i="1"/>
  <c r="L14" i="1" s="1"/>
  <c r="J32" i="7"/>
  <c r="L32" i="7" s="1"/>
  <c r="L34" i="7" s="1"/>
  <c r="J16" i="7"/>
  <c r="L16" i="7" s="1"/>
  <c r="J14" i="7"/>
  <c r="L14" i="7" s="1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5" i="7"/>
  <c r="L17" i="5" l="1"/>
  <c r="L18" i="1"/>
  <c r="L18" i="7"/>
  <c r="B32" i="3" l="1"/>
  <c r="C12" i="3"/>
  <c r="B14" i="3" l="1"/>
  <c r="B15" i="3" s="1"/>
  <c r="B34" i="3" l="1"/>
  <c r="B35" i="3" s="1"/>
  <c r="B4" i="3" s="1"/>
  <c r="B22" i="3"/>
  <c r="C14" i="3" l="1"/>
  <c r="C15" i="3" s="1"/>
  <c r="B4" i="5"/>
  <c r="B7" i="5" s="1"/>
  <c r="D7" i="5" s="1"/>
  <c r="G5" i="3"/>
  <c r="G9" i="3" s="1"/>
  <c r="G16" i="3"/>
  <c r="G20" i="3" s="1"/>
  <c r="B5" i="3" s="1"/>
  <c r="C24" i="3"/>
  <c r="C25" i="3" s="1"/>
  <c r="C35" i="3" s="1"/>
  <c r="G30" i="3"/>
  <c r="B19" i="3"/>
  <c r="G34" i="3" l="1"/>
  <c r="B7" i="3" s="1"/>
  <c r="B6" i="3"/>
  <c r="B3" i="2" s="1"/>
  <c r="B40" i="5"/>
  <c r="D40" i="5" s="1"/>
  <c r="C2" i="3"/>
  <c r="F4" i="7" s="1"/>
  <c r="G4" i="7" s="1"/>
  <c r="B23" i="5"/>
  <c r="D23" i="5" s="1"/>
  <c r="B37" i="5"/>
  <c r="D37" i="5" s="1"/>
  <c r="B14" i="5"/>
  <c r="D14" i="5" s="1"/>
  <c r="B31" i="5"/>
  <c r="D31" i="5" s="1"/>
  <c r="B28" i="5"/>
  <c r="D28" i="5" s="1"/>
  <c r="B9" i="5"/>
  <c r="D9" i="5" s="1"/>
  <c r="B27" i="5"/>
  <c r="D27" i="5" s="1"/>
  <c r="B13" i="5"/>
  <c r="D13" i="5" s="1"/>
  <c r="B15" i="5"/>
  <c r="D15" i="5" s="1"/>
  <c r="B41" i="5"/>
  <c r="D41" i="5" s="1"/>
  <c r="B18" i="5"/>
  <c r="D18" i="5" s="1"/>
  <c r="B32" i="5"/>
  <c r="D32" i="5" s="1"/>
  <c r="B30" i="5"/>
  <c r="D30" i="5" s="1"/>
  <c r="B42" i="5"/>
  <c r="D42" i="5" s="1"/>
  <c r="B25" i="5"/>
  <c r="D25" i="5" s="1"/>
  <c r="B17" i="5"/>
  <c r="D17" i="5" s="1"/>
  <c r="B11" i="5"/>
  <c r="D11" i="5" s="1"/>
  <c r="B35" i="5"/>
  <c r="D35" i="5" s="1"/>
  <c r="B29" i="5"/>
  <c r="D29" i="5" s="1"/>
  <c r="B8" i="5"/>
  <c r="D8" i="5" s="1"/>
  <c r="B20" i="5"/>
  <c r="D20" i="5" s="1"/>
  <c r="B6" i="5"/>
  <c r="D6" i="5" s="1"/>
  <c r="B26" i="5"/>
  <c r="D26" i="5" s="1"/>
  <c r="B19" i="5"/>
  <c r="D19" i="5" s="1"/>
  <c r="B21" i="5"/>
  <c r="D21" i="5" s="1"/>
  <c r="B33" i="5"/>
  <c r="D33" i="5" s="1"/>
  <c r="B34" i="5"/>
  <c r="D34" i="5" s="1"/>
  <c r="B5" i="5"/>
  <c r="D5" i="5" s="1"/>
  <c r="B10" i="5"/>
  <c r="D10" i="5" s="1"/>
  <c r="B16" i="5"/>
  <c r="D16" i="5" s="1"/>
  <c r="B38" i="5"/>
  <c r="D38" i="5" s="1"/>
  <c r="B39" i="5"/>
  <c r="D39" i="5" s="1"/>
  <c r="B36" i="5"/>
  <c r="D36" i="5" s="1"/>
  <c r="B43" i="5"/>
  <c r="D43" i="5" s="1"/>
  <c r="B22" i="5"/>
  <c r="D22" i="5" s="1"/>
  <c r="B12" i="5"/>
  <c r="D12" i="5" s="1"/>
  <c r="B24" i="5"/>
  <c r="D24" i="5" s="1"/>
  <c r="C4" i="3"/>
  <c r="F4" i="5" s="1"/>
  <c r="G4" i="5" s="1"/>
  <c r="C3" i="3"/>
  <c r="F4" i="1" s="1"/>
  <c r="G4" i="1" s="1"/>
  <c r="B30" i="4"/>
  <c r="D30" i="4" s="1"/>
  <c r="B6" i="4"/>
  <c r="D6" i="4" s="1"/>
  <c r="B24" i="4"/>
  <c r="D24" i="4" s="1"/>
  <c r="B26" i="4"/>
  <c r="D26" i="4" s="1"/>
  <c r="B31" i="4"/>
  <c r="D31" i="4" s="1"/>
  <c r="B32" i="4"/>
  <c r="D32" i="4" s="1"/>
  <c r="B11" i="4"/>
  <c r="D11" i="4" s="1"/>
  <c r="B22" i="4"/>
  <c r="D22" i="4" s="1"/>
  <c r="B8" i="4"/>
  <c r="D8" i="4" s="1"/>
  <c r="B13" i="4"/>
  <c r="D13" i="4" s="1"/>
  <c r="B38" i="4"/>
  <c r="D38" i="4" s="1"/>
  <c r="B10" i="4"/>
  <c r="D10" i="4" s="1"/>
  <c r="B28" i="4"/>
  <c r="D28" i="4" s="1"/>
  <c r="B33" i="4"/>
  <c r="D33" i="4" s="1"/>
  <c r="B42" i="4"/>
  <c r="D42" i="4" s="1"/>
  <c r="B36" i="4"/>
  <c r="D36" i="4" s="1"/>
  <c r="B16" i="4"/>
  <c r="D16" i="4" s="1"/>
  <c r="B27" i="4"/>
  <c r="D27" i="4" s="1"/>
  <c r="B12" i="4"/>
  <c r="D12" i="4" s="1"/>
  <c r="B35" i="4"/>
  <c r="D35" i="4" s="1"/>
  <c r="B19" i="4"/>
  <c r="D19" i="4" s="1"/>
  <c r="B41" i="4"/>
  <c r="D41" i="4" s="1"/>
  <c r="B5" i="4"/>
  <c r="D5" i="4" s="1"/>
  <c r="B37" i="4"/>
  <c r="D37" i="4" s="1"/>
  <c r="B17" i="4"/>
  <c r="D17" i="4" s="1"/>
  <c r="B7" i="4"/>
  <c r="D7" i="4" s="1"/>
  <c r="B20" i="4"/>
  <c r="D20" i="4" s="1"/>
  <c r="B25" i="4"/>
  <c r="D25" i="4" s="1"/>
  <c r="B18" i="4"/>
  <c r="D18" i="4" s="1"/>
  <c r="B39" i="4"/>
  <c r="D39" i="4" s="1"/>
  <c r="B40" i="4"/>
  <c r="D40" i="4" s="1"/>
  <c r="B4" i="4"/>
  <c r="D4" i="4" s="1"/>
  <c r="B3" i="4"/>
  <c r="B23" i="4"/>
  <c r="D23" i="4" s="1"/>
  <c r="B21" i="4"/>
  <c r="D21" i="4" s="1"/>
  <c r="B15" i="4"/>
  <c r="D15" i="4" s="1"/>
  <c r="B14" i="4"/>
  <c r="D14" i="4" s="1"/>
  <c r="B29" i="4"/>
  <c r="D29" i="4" s="1"/>
  <c r="B9" i="4"/>
  <c r="D9" i="4" s="1"/>
  <c r="B34" i="4"/>
  <c r="D34" i="4" s="1"/>
  <c r="B24" i="3"/>
  <c r="B25" i="3" s="1"/>
  <c r="B3" i="8" l="1"/>
  <c r="B13" i="8" s="1"/>
  <c r="D13" i="8" s="1"/>
  <c r="B19" i="2"/>
  <c r="D19" i="2" s="1"/>
  <c r="B25" i="2"/>
  <c r="D25" i="2" s="1"/>
  <c r="B24" i="2"/>
  <c r="D24" i="2" s="1"/>
  <c r="B10" i="2"/>
  <c r="D10" i="2" s="1"/>
  <c r="B35" i="2"/>
  <c r="D35" i="2" s="1"/>
  <c r="B23" i="2"/>
  <c r="D23" i="2" s="1"/>
  <c r="B28" i="2"/>
  <c r="D28" i="2" s="1"/>
  <c r="B31" i="2"/>
  <c r="D31" i="2" s="1"/>
  <c r="B33" i="2"/>
  <c r="D33" i="2" s="1"/>
  <c r="B38" i="2"/>
  <c r="D38" i="2" s="1"/>
  <c r="B22" i="2"/>
  <c r="D22" i="2" s="1"/>
  <c r="B29" i="2"/>
  <c r="D29" i="2" s="1"/>
  <c r="B41" i="2"/>
  <c r="D41" i="2" s="1"/>
  <c r="B26" i="2"/>
  <c r="D26" i="2" s="1"/>
  <c r="B4" i="2"/>
  <c r="D4" i="2" s="1"/>
  <c r="B15" i="2"/>
  <c r="D15" i="2" s="1"/>
  <c r="B34" i="2"/>
  <c r="D34" i="2" s="1"/>
  <c r="B27" i="2"/>
  <c r="D27" i="2" s="1"/>
  <c r="B32" i="2"/>
  <c r="D32" i="2" s="1"/>
  <c r="B18" i="2"/>
  <c r="D18" i="2" s="1"/>
  <c r="B21" i="2"/>
  <c r="D21" i="2" s="1"/>
  <c r="B9" i="2"/>
  <c r="D9" i="2" s="1"/>
  <c r="B6" i="2"/>
  <c r="D6" i="2" s="1"/>
  <c r="B20" i="2"/>
  <c r="D20" i="2" s="1"/>
  <c r="B7" i="2"/>
  <c r="D7" i="2" s="1"/>
  <c r="B37" i="2"/>
  <c r="D37" i="2" s="1"/>
  <c r="B39" i="2"/>
  <c r="D39" i="2" s="1"/>
  <c r="B16" i="2"/>
  <c r="D16" i="2" s="1"/>
  <c r="B40" i="2"/>
  <c r="D40" i="2" s="1"/>
  <c r="B13" i="2"/>
  <c r="D13" i="2" s="1"/>
  <c r="B8" i="2"/>
  <c r="D8" i="2" s="1"/>
  <c r="B36" i="2"/>
  <c r="D36" i="2" s="1"/>
  <c r="B5" i="2"/>
  <c r="D5" i="2" s="1"/>
  <c r="B14" i="2"/>
  <c r="D14" i="2" s="1"/>
  <c r="B42" i="2"/>
  <c r="D42" i="2" s="1"/>
  <c r="B12" i="2"/>
  <c r="D12" i="2" s="1"/>
  <c r="B17" i="2"/>
  <c r="D17" i="2" s="1"/>
  <c r="B11" i="2"/>
  <c r="D11" i="2" s="1"/>
  <c r="B30" i="2"/>
  <c r="D30" i="2" s="1"/>
  <c r="F13" i="7"/>
  <c r="G13" i="7" s="1"/>
  <c r="F10" i="7"/>
  <c r="G10" i="7" s="1"/>
  <c r="F21" i="7"/>
  <c r="G21" i="7" s="1"/>
  <c r="F14" i="7"/>
  <c r="G14" i="7" s="1"/>
  <c r="F37" i="7"/>
  <c r="G37" i="7" s="1"/>
  <c r="F32" i="7"/>
  <c r="G32" i="7" s="1"/>
  <c r="F40" i="7"/>
  <c r="G40" i="7" s="1"/>
  <c r="F22" i="7"/>
  <c r="G22" i="7" s="1"/>
  <c r="F26" i="7"/>
  <c r="G26" i="7" s="1"/>
  <c r="F15" i="7"/>
  <c r="G15" i="7" s="1"/>
  <c r="F18" i="7"/>
  <c r="G18" i="7" s="1"/>
  <c r="F23" i="7"/>
  <c r="G23" i="7" s="1"/>
  <c r="F16" i="7"/>
  <c r="G16" i="7" s="1"/>
  <c r="F31" i="7"/>
  <c r="G31" i="7" s="1"/>
  <c r="F24" i="7"/>
  <c r="G24" i="7" s="1"/>
  <c r="F19" i="7"/>
  <c r="G19" i="7" s="1"/>
  <c r="F17" i="7"/>
  <c r="G17" i="7" s="1"/>
  <c r="F25" i="7"/>
  <c r="G25" i="7" s="1"/>
  <c r="F11" i="7"/>
  <c r="G11" i="7" s="1"/>
  <c r="F8" i="7"/>
  <c r="G8" i="7" s="1"/>
  <c r="F28" i="7"/>
  <c r="G28" i="7" s="1"/>
  <c r="F33" i="7"/>
  <c r="G33" i="7" s="1"/>
  <c r="F36" i="7"/>
  <c r="G36" i="7" s="1"/>
  <c r="F41" i="7"/>
  <c r="G41" i="7" s="1"/>
  <c r="F34" i="7"/>
  <c r="G34" i="7" s="1"/>
  <c r="F39" i="7"/>
  <c r="G39" i="7" s="1"/>
  <c r="F7" i="7"/>
  <c r="G7" i="7" s="1"/>
  <c r="F6" i="7"/>
  <c r="G6" i="7" s="1"/>
  <c r="F30" i="7"/>
  <c r="G30" i="7" s="1"/>
  <c r="F42" i="7"/>
  <c r="G42" i="7" s="1"/>
  <c r="F38" i="7"/>
  <c r="G38" i="7" s="1"/>
  <c r="F43" i="7"/>
  <c r="G43" i="7" s="1"/>
  <c r="F9" i="7"/>
  <c r="G9" i="7" s="1"/>
  <c r="F27" i="7"/>
  <c r="G27" i="7" s="1"/>
  <c r="F5" i="7"/>
  <c r="G5" i="7" s="1"/>
  <c r="F20" i="7"/>
  <c r="G20" i="7" s="1"/>
  <c r="F29" i="7"/>
  <c r="G29" i="7" s="1"/>
  <c r="F35" i="7"/>
  <c r="G35" i="7" s="1"/>
  <c r="F12" i="7"/>
  <c r="G12" i="7" s="1"/>
  <c r="B3" i="3"/>
  <c r="B4" i="1" s="1"/>
  <c r="B2" i="3"/>
  <c r="B4" i="7" s="1"/>
  <c r="F13" i="5"/>
  <c r="G13" i="5" s="1"/>
  <c r="F33" i="5"/>
  <c r="G33" i="5" s="1"/>
  <c r="F12" i="5"/>
  <c r="G12" i="5" s="1"/>
  <c r="F32" i="5"/>
  <c r="G32" i="5" s="1"/>
  <c r="F11" i="5"/>
  <c r="G11" i="5" s="1"/>
  <c r="F31" i="5"/>
  <c r="G31" i="5" s="1"/>
  <c r="F10" i="5"/>
  <c r="G10" i="5" s="1"/>
  <c r="F30" i="5"/>
  <c r="G30" i="5" s="1"/>
  <c r="F9" i="5"/>
  <c r="G9" i="5" s="1"/>
  <c r="F29" i="5"/>
  <c r="G29" i="5" s="1"/>
  <c r="F8" i="5"/>
  <c r="G8" i="5" s="1"/>
  <c r="F28" i="5"/>
  <c r="G28" i="5" s="1"/>
  <c r="F7" i="5"/>
  <c r="G7" i="5" s="1"/>
  <c r="F27" i="5"/>
  <c r="G27" i="5" s="1"/>
  <c r="F6" i="5"/>
  <c r="G6" i="5" s="1"/>
  <c r="F26" i="5"/>
  <c r="G26" i="5" s="1"/>
  <c r="F25" i="5"/>
  <c r="G25" i="5" s="1"/>
  <c r="F24" i="5"/>
  <c r="G24" i="5" s="1"/>
  <c r="F15" i="5"/>
  <c r="G15" i="5" s="1"/>
  <c r="F14" i="5"/>
  <c r="G14" i="5" s="1"/>
  <c r="F5" i="5"/>
  <c r="G5" i="5" s="1"/>
  <c r="F43" i="5"/>
  <c r="G43" i="5" s="1"/>
  <c r="F42" i="5"/>
  <c r="G42" i="5" s="1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4" i="5"/>
  <c r="G3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35" i="5"/>
  <c r="G35" i="5" s="1"/>
  <c r="F21" i="1"/>
  <c r="G21" i="1" s="1"/>
  <c r="F36" i="1"/>
  <c r="G36" i="1" s="1"/>
  <c r="F19" i="1"/>
  <c r="G19" i="1" s="1"/>
  <c r="F10" i="1"/>
  <c r="G10" i="1" s="1"/>
  <c r="F22" i="1"/>
  <c r="G22" i="1" s="1"/>
  <c r="F33" i="1"/>
  <c r="G33" i="1" s="1"/>
  <c r="F40" i="1"/>
  <c r="G40" i="1" s="1"/>
  <c r="F15" i="1"/>
  <c r="G15" i="1" s="1"/>
  <c r="F8" i="1"/>
  <c r="G8" i="1" s="1"/>
  <c r="F26" i="1"/>
  <c r="G26" i="1" s="1"/>
  <c r="F13" i="1"/>
  <c r="G13" i="1" s="1"/>
  <c r="F12" i="1"/>
  <c r="G12" i="1" s="1"/>
  <c r="F42" i="1"/>
  <c r="G42" i="1" s="1"/>
  <c r="F30" i="1"/>
  <c r="G30" i="1" s="1"/>
  <c r="F25" i="1"/>
  <c r="G25" i="1" s="1"/>
  <c r="F7" i="1"/>
  <c r="G7" i="1" s="1"/>
  <c r="F16" i="1"/>
  <c r="G16" i="1" s="1"/>
  <c r="F39" i="1"/>
  <c r="G39" i="1" s="1"/>
  <c r="F34" i="1"/>
  <c r="G34" i="1" s="1"/>
  <c r="F29" i="1"/>
  <c r="G29" i="1" s="1"/>
  <c r="F11" i="1"/>
  <c r="G11" i="1" s="1"/>
  <c r="F35" i="1"/>
  <c r="G35" i="1" s="1"/>
  <c r="F17" i="1"/>
  <c r="G17" i="1" s="1"/>
  <c r="F24" i="1"/>
  <c r="G24" i="1" s="1"/>
  <c r="F37" i="1"/>
  <c r="G37" i="1" s="1"/>
  <c r="F27" i="1"/>
  <c r="G27" i="1" s="1"/>
  <c r="F14" i="1"/>
  <c r="G14" i="1" s="1"/>
  <c r="F32" i="1"/>
  <c r="G32" i="1" s="1"/>
  <c r="F6" i="1"/>
  <c r="G6" i="1" s="1"/>
  <c r="F20" i="1"/>
  <c r="G20" i="1" s="1"/>
  <c r="F38" i="1"/>
  <c r="G38" i="1" s="1"/>
  <c r="F9" i="1"/>
  <c r="G9" i="1" s="1"/>
  <c r="F31" i="1"/>
  <c r="G31" i="1" s="1"/>
  <c r="F43" i="1"/>
  <c r="G43" i="1" s="1"/>
  <c r="F28" i="1"/>
  <c r="G28" i="1" s="1"/>
  <c r="F5" i="1"/>
  <c r="G5" i="1" s="1"/>
  <c r="F41" i="1"/>
  <c r="G41" i="1" s="1"/>
  <c r="F23" i="1"/>
  <c r="G23" i="1" s="1"/>
  <c r="F18" i="1"/>
  <c r="G18" i="1" s="1"/>
  <c r="B23" i="8"/>
  <c r="D23" i="8" s="1"/>
  <c r="B22" i="8"/>
  <c r="D22" i="8" s="1"/>
  <c r="B42" i="8"/>
  <c r="D42" i="8" s="1"/>
  <c r="B27" i="8"/>
  <c r="D27" i="8" s="1"/>
  <c r="B9" i="8"/>
  <c r="D9" i="8" s="1"/>
  <c r="B37" i="8"/>
  <c r="D37" i="8" s="1"/>
  <c r="B39" i="8"/>
  <c r="D39" i="8" s="1"/>
  <c r="B31" i="8"/>
  <c r="D31" i="8" s="1"/>
  <c r="B41" i="8"/>
  <c r="D41" i="8" s="1"/>
  <c r="B40" i="8"/>
  <c r="D40" i="8" s="1"/>
  <c r="B10" i="8"/>
  <c r="D10" i="8" s="1"/>
  <c r="B24" i="8"/>
  <c r="D24" i="8" s="1"/>
  <c r="B33" i="8"/>
  <c r="D33" i="8" s="1"/>
  <c r="B36" i="8"/>
  <c r="D36" i="8" s="1"/>
  <c r="B19" i="8"/>
  <c r="D19" i="8" s="1"/>
  <c r="B25" i="8"/>
  <c r="D25" i="8" s="1"/>
  <c r="B17" i="8"/>
  <c r="D17" i="8" s="1"/>
  <c r="B7" i="8"/>
  <c r="D7" i="8" s="1"/>
  <c r="B16" i="8"/>
  <c r="D16" i="8" s="1"/>
  <c r="B14" i="8"/>
  <c r="D14" i="8" s="1"/>
  <c r="B20" i="8"/>
  <c r="D20" i="8" s="1"/>
  <c r="B26" i="8"/>
  <c r="D26" i="8" s="1"/>
  <c r="B8" i="8"/>
  <c r="D8" i="8" s="1"/>
  <c r="B28" i="8"/>
  <c r="D28" i="8" s="1"/>
  <c r="B38" i="8"/>
  <c r="D38" i="8" s="1"/>
  <c r="B35" i="8"/>
  <c r="D35" i="8" s="1"/>
  <c r="B34" i="8"/>
  <c r="D34" i="8" s="1"/>
  <c r="B29" i="8"/>
  <c r="D29" i="8" s="1"/>
  <c r="B21" i="8"/>
  <c r="D21" i="8" s="1"/>
  <c r="B11" i="8"/>
  <c r="D11" i="8" s="1"/>
  <c r="B5" i="8"/>
  <c r="D5" i="8" s="1"/>
  <c r="B4" i="8"/>
  <c r="D4" i="8" s="1"/>
  <c r="B32" i="8"/>
  <c r="D32" i="8" s="1"/>
  <c r="B30" i="8"/>
  <c r="D30" i="8" s="1"/>
  <c r="B18" i="8" l="1"/>
  <c r="D18" i="8" s="1"/>
  <c r="B15" i="8"/>
  <c r="D15" i="8" s="1"/>
  <c r="B6" i="8"/>
  <c r="D6" i="8" s="1"/>
  <c r="B12" i="8"/>
  <c r="D12" i="8" s="1"/>
  <c r="B8" i="7"/>
  <c r="D8" i="7" s="1"/>
  <c r="B10" i="7"/>
  <c r="D10" i="7" s="1"/>
  <c r="B43" i="7"/>
  <c r="D43" i="7" s="1"/>
  <c r="B31" i="7"/>
  <c r="D31" i="7" s="1"/>
  <c r="B37" i="7"/>
  <c r="D37" i="7" s="1"/>
  <c r="B6" i="7"/>
  <c r="D6" i="7" s="1"/>
  <c r="B36" i="7"/>
  <c r="D36" i="7" s="1"/>
  <c r="B14" i="7"/>
  <c r="D14" i="7" s="1"/>
  <c r="B5" i="7"/>
  <c r="D5" i="7" s="1"/>
  <c r="B20" i="7"/>
  <c r="D20" i="7" s="1"/>
  <c r="B7" i="7"/>
  <c r="D7" i="7" s="1"/>
  <c r="B27" i="7"/>
  <c r="D27" i="7" s="1"/>
  <c r="B15" i="7"/>
  <c r="D15" i="7" s="1"/>
  <c r="B11" i="7"/>
  <c r="D11" i="7" s="1"/>
  <c r="B34" i="7"/>
  <c r="D34" i="7" s="1"/>
  <c r="B32" i="7"/>
  <c r="D32" i="7" s="1"/>
  <c r="B33" i="7"/>
  <c r="D33" i="7" s="1"/>
  <c r="B39" i="7"/>
  <c r="D39" i="7" s="1"/>
  <c r="B24" i="7"/>
  <c r="D24" i="7" s="1"/>
  <c r="B22" i="7"/>
  <c r="D22" i="7" s="1"/>
  <c r="B16" i="7"/>
  <c r="D16" i="7" s="1"/>
  <c r="B19" i="7"/>
  <c r="D19" i="7" s="1"/>
  <c r="B35" i="7"/>
  <c r="D35" i="7" s="1"/>
  <c r="B9" i="7"/>
  <c r="D9" i="7" s="1"/>
  <c r="B25" i="7"/>
  <c r="D25" i="7" s="1"/>
  <c r="B26" i="7"/>
  <c r="D26" i="7" s="1"/>
  <c r="B17" i="7"/>
  <c r="D17" i="7" s="1"/>
  <c r="B40" i="7"/>
  <c r="D40" i="7" s="1"/>
  <c r="B42" i="7"/>
  <c r="D42" i="7" s="1"/>
  <c r="B18" i="7"/>
  <c r="D18" i="7" s="1"/>
  <c r="B30" i="7"/>
  <c r="D30" i="7" s="1"/>
  <c r="B21" i="7"/>
  <c r="D21" i="7" s="1"/>
  <c r="B41" i="7"/>
  <c r="D41" i="7" s="1"/>
  <c r="B29" i="7"/>
  <c r="D29" i="7" s="1"/>
  <c r="B23" i="7"/>
  <c r="D23" i="7" s="1"/>
  <c r="B28" i="7"/>
  <c r="D28" i="7" s="1"/>
  <c r="B12" i="7"/>
  <c r="D12" i="7" s="1"/>
  <c r="B38" i="7"/>
  <c r="D38" i="7" s="1"/>
  <c r="B13" i="7"/>
  <c r="D13" i="7" s="1"/>
  <c r="B27" i="1"/>
  <c r="D27" i="1" s="1"/>
  <c r="B25" i="1"/>
  <c r="D25" i="1" s="1"/>
  <c r="B23" i="1"/>
  <c r="D23" i="1" s="1"/>
  <c r="B21" i="1"/>
  <c r="D21" i="1" s="1"/>
  <c r="B19" i="1"/>
  <c r="D19" i="1" s="1"/>
  <c r="B17" i="1"/>
  <c r="D17" i="1" s="1"/>
  <c r="B15" i="1"/>
  <c r="D15" i="1" s="1"/>
  <c r="B13" i="1"/>
  <c r="D13" i="1" s="1"/>
  <c r="B11" i="1"/>
  <c r="D11" i="1" s="1"/>
  <c r="B9" i="1"/>
  <c r="D9" i="1" s="1"/>
  <c r="B6" i="1"/>
  <c r="D6" i="1" s="1"/>
  <c r="B43" i="1"/>
  <c r="D43" i="1" s="1"/>
  <c r="B41" i="1"/>
  <c r="D41" i="1" s="1"/>
  <c r="B39" i="1"/>
  <c r="D39" i="1" s="1"/>
  <c r="B37" i="1"/>
  <c r="D37" i="1" s="1"/>
  <c r="B35" i="1"/>
  <c r="D35" i="1" s="1"/>
  <c r="B33" i="1"/>
  <c r="D33" i="1" s="1"/>
  <c r="B31" i="1"/>
  <c r="D31" i="1" s="1"/>
  <c r="B26" i="1"/>
  <c r="D26" i="1" s="1"/>
  <c r="B24" i="1"/>
  <c r="D24" i="1" s="1"/>
  <c r="B22" i="1"/>
  <c r="D22" i="1" s="1"/>
  <c r="B20" i="1"/>
  <c r="D20" i="1" s="1"/>
  <c r="B18" i="1"/>
  <c r="D18" i="1" s="1"/>
  <c r="B16" i="1"/>
  <c r="D16" i="1" s="1"/>
  <c r="B14" i="1"/>
  <c r="D14" i="1" s="1"/>
  <c r="B12" i="1"/>
  <c r="D12" i="1" s="1"/>
  <c r="B10" i="1"/>
  <c r="D10" i="1" s="1"/>
  <c r="B8" i="1"/>
  <c r="D8" i="1" s="1"/>
  <c r="B7" i="1"/>
  <c r="D7" i="1" s="1"/>
  <c r="B5" i="1"/>
  <c r="D5" i="1" s="1"/>
  <c r="B42" i="1"/>
  <c r="D42" i="1" s="1"/>
  <c r="B40" i="1"/>
  <c r="D40" i="1" s="1"/>
  <c r="B38" i="1"/>
  <c r="D38" i="1" s="1"/>
  <c r="B36" i="1"/>
  <c r="D36" i="1" s="1"/>
  <c r="B34" i="1"/>
  <c r="D34" i="1" s="1"/>
  <c r="B32" i="1"/>
  <c r="D32" i="1" s="1"/>
  <c r="B30" i="1"/>
  <c r="D30" i="1" s="1"/>
  <c r="B28" i="1"/>
  <c r="D28" i="1" s="1"/>
  <c r="B29" i="1"/>
  <c r="D29" i="1" s="1"/>
</calcChain>
</file>

<file path=xl/sharedStrings.xml><?xml version="1.0" encoding="utf-8"?>
<sst xmlns="http://schemas.openxmlformats.org/spreadsheetml/2006/main" count="270" uniqueCount="80">
  <si>
    <t>HORAS DEDICACION SEMANALES</t>
  </si>
  <si>
    <t>LICENCIADO</t>
  </si>
  <si>
    <t>SALARIOS BRUTOS</t>
  </si>
  <si>
    <t>AUXILIAR ADMINISTRATIVO</t>
  </si>
  <si>
    <t>SUELDO</t>
  </si>
  <si>
    <t>AUX. ADMINISTRATIVO</t>
  </si>
  <si>
    <t>P.P. EXTRAS</t>
  </si>
  <si>
    <t>INDEMNIZACION</t>
  </si>
  <si>
    <t>TOTAL,,,,,,,,,,,,,,</t>
  </si>
  <si>
    <t>DIPLOMADOS</t>
  </si>
  <si>
    <t>ESP TEC LABORATORIO</t>
  </si>
  <si>
    <t>ESP. TEC. LABORATORIO</t>
  </si>
  <si>
    <t>C. DESTINO (18)</t>
  </si>
  <si>
    <t>C. ESPECIFICO (28)</t>
  </si>
  <si>
    <t>C. DESTINO (14)</t>
  </si>
  <si>
    <t>C. ESPECIFICO (24)</t>
  </si>
  <si>
    <t>PP EXTRAS</t>
  </si>
  <si>
    <t>INDENIZACION</t>
  </si>
  <si>
    <t>€/MES (MÍNIMOS)</t>
  </si>
  <si>
    <t xml:space="preserve">LICENCIADO </t>
  </si>
  <si>
    <t>€/MES (MAXIMOS)</t>
  </si>
  <si>
    <t>€/MES (MÁXIMOS)</t>
  </si>
  <si>
    <t>C. DESTINO (27)</t>
  </si>
  <si>
    <t>C. ESPECIFICO</t>
  </si>
  <si>
    <t>DOCTOR</t>
  </si>
  <si>
    <t>DIPLOMADO</t>
  </si>
  <si>
    <t>€/MES (MINIMOS)</t>
  </si>
  <si>
    <t xml:space="preserve">DOCTOR </t>
  </si>
  <si>
    <t>C. DESTINO (29)</t>
  </si>
  <si>
    <t>MINIMOS</t>
  </si>
  <si>
    <t>MAXIMOS</t>
  </si>
  <si>
    <t>AUXILIAR DE SERVICIOS</t>
  </si>
  <si>
    <t>AUX. DE SERVICIOS</t>
  </si>
  <si>
    <t>C. ESPECIFICO (20)</t>
  </si>
  <si>
    <t>TOTAL (DOCTOR TC)</t>
  </si>
  <si>
    <t>TOTAL (PROF TITULAR TC)</t>
  </si>
  <si>
    <t>TOTAL (80% P. TITULAR TC)</t>
  </si>
  <si>
    <t>SUELDO (A)</t>
  </si>
  <si>
    <t>SUELDO (B)</t>
  </si>
  <si>
    <t>componente compensatorio</t>
  </si>
  <si>
    <t>BASE MINIMA/HORA Tº PARCIAL GRUPO 1</t>
  </si>
  <si>
    <t>BASE MINIMA G1</t>
  </si>
  <si>
    <t>BASE MINIMA/HORA Tº PARCIAL GRUPO 2</t>
  </si>
  <si>
    <t>BASE MINIMA/HORA Tº PARCIAL GRUPO 4-11</t>
  </si>
  <si>
    <t>12DIAS</t>
  </si>
  <si>
    <t>12 DIAS</t>
  </si>
  <si>
    <t>BASE MINIMA/HORA Tº PARCIAL GRUPO 5</t>
  </si>
  <si>
    <t>CONTINGENCIAS COMUNES</t>
  </si>
  <si>
    <t>CONTINGENCIAS PROFESIONALES</t>
  </si>
  <si>
    <t>Grupo de Cotización</t>
  </si>
  <si>
    <t>Bases mínimas euros/mes</t>
  </si>
  <si>
    <t>Bases máximas euros/mes</t>
  </si>
  <si>
    <t>TOPE MÍNIMO</t>
  </si>
  <si>
    <t>TOPE MÁXIMO</t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</si>
  <si>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BRUTA PROPUESTA </t>
    </r>
    <r>
      <rPr>
        <sz val="9"/>
        <color rgb="FF0033CC"/>
        <rFont val="Verdana"/>
        <family val="2"/>
      </rPr>
      <t xml:space="preserve">para </t>
    </r>
    <r>
      <rPr>
        <b/>
        <sz val="9"/>
        <color rgb="FF0033CC"/>
        <rFont val="Verdana"/>
        <family val="2"/>
      </rPr>
      <t>40h/semana ………………………………</t>
    </r>
  </si>
  <si>
    <t>CALCULADORA COSTE SEG.SOCIAL TIEMPO COMPLETO</t>
  </si>
  <si>
    <t>Base Cotización</t>
  </si>
  <si>
    <t>Tipos cotización %</t>
  </si>
  <si>
    <t>Cuota Patronal</t>
  </si>
  <si>
    <t>Contingencias Comunes</t>
  </si>
  <si>
    <t>Contingencias Profesionales</t>
  </si>
  <si>
    <t>TOTAL COSTE SEGURIDAD SOCIAL</t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</si>
  <si>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 xml:space="preserve">, para retribuciones comprendidas </t>
    </r>
    <r>
      <rPr>
        <b/>
        <sz val="9"/>
        <rFont val="Verdana"/>
        <family val="2"/>
      </rPr>
      <t>en el rango del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intervalo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establecido</t>
    </r>
    <r>
      <rPr>
        <sz val="9"/>
        <rFont val="Verdana"/>
        <family val="2"/>
      </rPr>
      <t xml:space="preserve">, usar la siguiente calculadora para determinar el coste de Seguridad Social 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</si>
  <si>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DEDICACION de HORAS semanales…………………………….……………………………….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</si>
  <si>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PROPUESTA ……….……………….……………………………….</t>
    </r>
  </si>
  <si>
    <t>CALCULADORA COSTE SEG.SOCIAL TIEMPO PARCIAL</t>
  </si>
  <si>
    <t>Base mín.Cotiz.</t>
  </si>
  <si>
    <t>Tipo cotización %</t>
  </si>
  <si>
    <t>TOTAL COSTE SEGURIDAD SOCIAL……..</t>
  </si>
  <si>
    <r>
      <rPr>
        <b/>
        <sz val="10"/>
        <rFont val="Verdana"/>
        <family val="2"/>
      </rPr>
      <t>(*) NOTA:</t>
    </r>
    <r>
      <rPr>
        <sz val="10"/>
        <rFont val="Verdana"/>
        <family val="2"/>
      </rPr>
      <t xml:space="preserve"> Para calcular el coste total del contrato/renovación para el periodo, utilice la siguiente plantilla………………………………………………………</t>
    </r>
  </si>
  <si>
    <t>CALCULO RC</t>
  </si>
  <si>
    <t>CUOTA SEG. SOCIAL 32,60%</t>
  </si>
  <si>
    <t>RETRIBUCION BRUTA MENSUAL</t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</si>
  <si>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 xml:space="preserve">, para retribuciones distintas a las establecidas en tablas, según bases de la convocatoria, usar la siguiente calculadora para determinar el coste de Seguridad Social </t>
    </r>
  </si>
  <si>
    <t>BASE MINIMA G7</t>
  </si>
  <si>
    <t>BASE MINIMA G5</t>
  </si>
  <si>
    <t>CUOTA SEG. SOCIAL 33,10%</t>
  </si>
  <si>
    <t>NO HAY NINGUN CONTRATO</t>
  </si>
  <si>
    <t>CUOTA SEG. SOCIAL 33,18%</t>
  </si>
  <si>
    <t>Incrementando cada año según porcentaje aplicable al resto.( 486,27 € a 31/12/2022 + 1,5+2,5+0,5+0,5)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</si>
</sst>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8" x14ac:knownFonts="1">
    <font>
      <sz val="10"/>
      <name val="Arial"/>
    </font>
    <font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8"/>
      <name val="Cambria"/>
      <family val="1"/>
      <scheme val="major"/>
    </font>
    <font>
      <sz val="18"/>
      <name val="Cambria"/>
      <family val="1"/>
      <scheme val="major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color rgb="FF0033CC"/>
      <name val="Verdana"/>
      <family val="2"/>
    </font>
    <font>
      <sz val="9"/>
      <color rgb="FF0033CC"/>
      <name val="Verdana"/>
      <family val="2"/>
    </font>
    <font>
      <b/>
      <sz val="10"/>
      <color rgb="FF0033CC"/>
      <name val="Verdana"/>
      <family val="2"/>
    </font>
    <font>
      <sz val="10"/>
      <color rgb="FF0033CC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b/>
      <sz val="9"/>
      <color rgb="FF0000CC"/>
      <name val="Verdana"/>
      <family val="2"/>
    </font>
    <font>
      <b/>
      <i/>
      <sz val="9"/>
      <color theme="0" tint="-0.34998626667073579"/>
      <name val="Verdana"/>
      <family val="2"/>
    </font>
    <font>
      <i/>
      <sz val="10"/>
      <color theme="0" tint="-0.34998626667073579"/>
      <name val="Verdana"/>
      <family val="2"/>
    </font>
    <font>
      <b/>
      <sz val="10"/>
      <name val="Verdana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2" borderId="1" xfId="0" applyFill="1" applyBorder="1"/>
    <xf numFmtId="2" fontId="0" fillId="2" borderId="1" xfId="0" applyNumberFormat="1" applyFill="1" applyBorder="1"/>
    <xf numFmtId="0" fontId="4" fillId="2" borderId="0" xfId="0" applyFont="1" applyFill="1"/>
    <xf numFmtId="2" fontId="4" fillId="2" borderId="0" xfId="0" applyNumberFormat="1" applyFont="1" applyFill="1"/>
    <xf numFmtId="0" fontId="0" fillId="3" borderId="0" xfId="0" applyFill="1"/>
    <xf numFmtId="2" fontId="0" fillId="3" borderId="0" xfId="0" applyNumberFormat="1" applyFill="1"/>
    <xf numFmtId="0" fontId="4" fillId="3" borderId="0" xfId="0" applyFont="1" applyFill="1"/>
    <xf numFmtId="2" fontId="4" fillId="3" borderId="0" xfId="0" applyNumberFormat="1" applyFont="1" applyFill="1"/>
    <xf numFmtId="0" fontId="0" fillId="0" borderId="0" xfId="0" applyBorder="1"/>
    <xf numFmtId="0" fontId="2" fillId="3" borderId="0" xfId="0" applyFont="1" applyFill="1" applyAlignment="1"/>
    <xf numFmtId="0" fontId="2" fillId="4" borderId="0" xfId="0" applyFont="1" applyFill="1"/>
    <xf numFmtId="0" fontId="5" fillId="4" borderId="0" xfId="0" applyFont="1" applyFill="1"/>
    <xf numFmtId="0" fontId="0" fillId="0" borderId="1" xfId="0" applyBorder="1"/>
    <xf numFmtId="2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3" fillId="4" borderId="0" xfId="0" applyFont="1" applyFill="1"/>
    <xf numFmtId="2" fontId="4" fillId="0" borderId="0" xfId="0" applyNumberFormat="1" applyFont="1"/>
    <xf numFmtId="2" fontId="0" fillId="0" borderId="0" xfId="0" applyNumberFormat="1" applyBorder="1"/>
    <xf numFmtId="2" fontId="0" fillId="4" borderId="3" xfId="0" applyNumberFormat="1" applyFill="1" applyBorder="1"/>
    <xf numFmtId="2" fontId="3" fillId="4" borderId="3" xfId="0" applyNumberFormat="1" applyFont="1" applyFill="1" applyBorder="1" applyAlignment="1">
      <alignment horizontal="right"/>
    </xf>
    <xf numFmtId="2" fontId="0" fillId="4" borderId="2" xfId="0" applyNumberFormat="1" applyFill="1" applyBorder="1"/>
    <xf numFmtId="0" fontId="0" fillId="2" borderId="0" xfId="0" applyFill="1" applyBorder="1"/>
    <xf numFmtId="0" fontId="8" fillId="2" borderId="0" xfId="0" applyFont="1" applyFill="1" applyBorder="1"/>
    <xf numFmtId="2" fontId="8" fillId="3" borderId="0" xfId="0" applyNumberFormat="1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2" fontId="9" fillId="0" borderId="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7" xfId="0" applyNumberFormat="1" applyFont="1" applyBorder="1"/>
    <xf numFmtId="2" fontId="9" fillId="0" borderId="8" xfId="0" applyNumberFormat="1" applyFont="1" applyBorder="1" applyAlignment="1">
      <alignment horizontal="center"/>
    </xf>
    <xf numFmtId="2" fontId="9" fillId="0" borderId="10" xfId="0" applyNumberFormat="1" applyFont="1" applyBorder="1"/>
    <xf numFmtId="0" fontId="10" fillId="0" borderId="0" xfId="0" applyFont="1" applyAlignment="1">
      <alignment horizontal="center"/>
    </xf>
    <xf numFmtId="2" fontId="9" fillId="0" borderId="0" xfId="0" applyNumberFormat="1" applyFont="1"/>
    <xf numFmtId="0" fontId="10" fillId="0" borderId="0" xfId="0" applyFont="1"/>
    <xf numFmtId="0" fontId="9" fillId="6" borderId="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4" fontId="0" fillId="2" borderId="0" xfId="0" applyNumberFormat="1" applyFill="1" applyBorder="1"/>
    <xf numFmtId="2" fontId="2" fillId="4" borderId="2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right"/>
    </xf>
    <xf numFmtId="2" fontId="2" fillId="4" borderId="3" xfId="0" applyNumberFormat="1" applyFont="1" applyFill="1" applyBorder="1" applyAlignment="1">
      <alignment horizontal="center"/>
    </xf>
    <xf numFmtId="2" fontId="1" fillId="0" borderId="0" xfId="0" applyNumberFormat="1" applyFont="1"/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4" fillId="9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/>
    <xf numFmtId="2" fontId="16" fillId="0" borderId="0" xfId="0" applyNumberFormat="1" applyFont="1"/>
    <xf numFmtId="0" fontId="20" fillId="0" borderId="0" xfId="0" applyFont="1" applyAlignment="1">
      <alignment horizontal="center" wrapText="1"/>
    </xf>
    <xf numFmtId="2" fontId="20" fillId="0" borderId="0" xfId="0" applyNumberFormat="1" applyFont="1"/>
    <xf numFmtId="0" fontId="20" fillId="0" borderId="0" xfId="0" applyFont="1"/>
    <xf numFmtId="0" fontId="20" fillId="0" borderId="0" xfId="0" applyFont="1" applyAlignment="1"/>
    <xf numFmtId="0" fontId="21" fillId="0" borderId="13" xfId="0" applyFont="1" applyFill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2" fontId="22" fillId="0" borderId="13" xfId="2" applyNumberFormat="1" applyFont="1" applyBorder="1" applyAlignment="1">
      <alignment horizontal="center" vertical="center"/>
    </xf>
    <xf numFmtId="8" fontId="19" fillId="9" borderId="13" xfId="1" applyNumberFormat="1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8" fontId="22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6" borderId="27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/>
    <xf numFmtId="2" fontId="9" fillId="0" borderId="6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2" fontId="9" fillId="0" borderId="8" xfId="0" applyNumberFormat="1" applyFont="1" applyBorder="1" applyAlignment="1">
      <alignment horizontal="right"/>
    </xf>
    <xf numFmtId="0" fontId="0" fillId="0" borderId="22" xfId="0" applyBorder="1"/>
    <xf numFmtId="2" fontId="10" fillId="0" borderId="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10" borderId="0" xfId="0" applyFont="1" applyFill="1"/>
    <xf numFmtId="2" fontId="6" fillId="10" borderId="0" xfId="0" applyNumberFormat="1" applyFont="1" applyFill="1" applyAlignment="1">
      <alignment horizontal="right"/>
    </xf>
    <xf numFmtId="0" fontId="6" fillId="10" borderId="0" xfId="0" applyFont="1" applyFill="1" applyAlignment="1">
      <alignment horizontal="right"/>
    </xf>
    <xf numFmtId="0" fontId="0" fillId="10" borderId="0" xfId="0" applyFill="1"/>
    <xf numFmtId="2" fontId="0" fillId="10" borderId="0" xfId="0" applyNumberFormat="1" applyFill="1"/>
    <xf numFmtId="0" fontId="1" fillId="10" borderId="0" xfId="0" applyFont="1" applyFill="1"/>
    <xf numFmtId="0" fontId="0" fillId="10" borderId="1" xfId="0" applyFill="1" applyBorder="1"/>
    <xf numFmtId="2" fontId="0" fillId="10" borderId="1" xfId="0" applyNumberFormat="1" applyFill="1" applyBorder="1"/>
    <xf numFmtId="2" fontId="0" fillId="10" borderId="0" xfId="0" applyNumberFormat="1" applyFill="1" applyBorder="1"/>
    <xf numFmtId="2" fontId="4" fillId="10" borderId="0" xfId="0" applyNumberFormat="1" applyFont="1" applyFill="1"/>
    <xf numFmtId="0" fontId="12" fillId="8" borderId="25" xfId="0" applyFont="1" applyFill="1" applyBorder="1" applyAlignment="1">
      <alignment horizontal="center" wrapText="1"/>
    </xf>
    <xf numFmtId="0" fontId="13" fillId="8" borderId="25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8" fontId="22" fillId="0" borderId="14" xfId="0" applyNumberFormat="1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3" fillId="9" borderId="11" xfId="0" applyFont="1" applyFill="1" applyBorder="1" applyAlignment="1">
      <alignment horizontal="left" vertical="center" wrapText="1"/>
    </xf>
    <xf numFmtId="0" fontId="23" fillId="9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44" fontId="19" fillId="9" borderId="19" xfId="1" applyFont="1" applyFill="1" applyBorder="1" applyAlignment="1">
      <alignment horizontal="center" vertical="center"/>
    </xf>
    <xf numFmtId="44" fontId="19" fillId="9" borderId="21" xfId="1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8" fontId="22" fillId="0" borderId="14" xfId="0" applyNumberFormat="1" applyFont="1" applyBorder="1" applyAlignment="1">
      <alignment horizontal="center" vertical="center"/>
    </xf>
    <xf numFmtId="8" fontId="22" fillId="0" borderId="8" xfId="0" applyNumberFormat="1" applyFont="1" applyBorder="1" applyAlignment="1">
      <alignment horizontal="center" vertical="center"/>
    </xf>
    <xf numFmtId="2" fontId="22" fillId="0" borderId="25" xfId="2" applyNumberFormat="1" applyFont="1" applyBorder="1" applyAlignment="1">
      <alignment horizontal="center" vertical="center"/>
    </xf>
    <xf numFmtId="2" fontId="22" fillId="0" borderId="26" xfId="2" applyNumberFormat="1" applyFont="1" applyBorder="1" applyAlignment="1">
      <alignment horizontal="center" vertical="center"/>
    </xf>
    <xf numFmtId="8" fontId="22" fillId="0" borderId="19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27" fillId="0" borderId="0" xfId="3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 shrinkToFit="1"/>
    </xf>
    <xf numFmtId="0" fontId="11" fillId="5" borderId="8" xfId="0" applyFont="1" applyFill="1" applyBorder="1" applyAlignment="1">
      <alignment horizontal="center" vertical="center" wrapText="1" shrinkToFit="1"/>
    </xf>
    <xf numFmtId="0" fontId="10" fillId="7" borderId="3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 wrapText="1"/>
    </xf>
    <xf numFmtId="2" fontId="25" fillId="0" borderId="8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14" xfId="2" applyNumberFormat="1" applyFont="1" applyBorder="1" applyAlignment="1">
      <alignment horizontal="center" vertical="center"/>
    </xf>
    <xf numFmtId="2" fontId="22" fillId="0" borderId="8" xfId="2" applyNumberFormat="1" applyFont="1" applyBorder="1" applyAlignment="1">
      <alignment horizontal="center" vertical="center"/>
    </xf>
    <xf numFmtId="8" fontId="22" fillId="0" borderId="8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1" fontId="19" fillId="9" borderId="19" xfId="1" applyNumberFormat="1" applyFont="1" applyFill="1" applyBorder="1" applyAlignment="1">
      <alignment horizontal="center" vertical="center"/>
    </xf>
    <xf numFmtId="1" fontId="19" fillId="9" borderId="21" xfId="1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right" vertical="center" wrapText="1"/>
    </xf>
    <xf numFmtId="0" fontId="23" fillId="9" borderId="18" xfId="0" applyFont="1" applyFill="1" applyBorder="1" applyAlignment="1">
      <alignment horizontal="right" vertical="center" wrapText="1"/>
    </xf>
    <xf numFmtId="0" fontId="23" fillId="9" borderId="1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44" fontId="19" fillId="9" borderId="14" xfId="1" applyFont="1" applyFill="1" applyBorder="1" applyAlignment="1">
      <alignment horizontal="center" vertical="center"/>
    </xf>
    <xf numFmtId="44" fontId="19" fillId="9" borderId="8" xfId="1" applyFont="1" applyFill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 wrapText="1"/>
    </xf>
    <xf numFmtId="1" fontId="19" fillId="9" borderId="14" xfId="1" applyNumberFormat="1" applyFont="1" applyFill="1" applyBorder="1" applyAlignment="1">
      <alignment horizontal="center" vertical="center"/>
    </xf>
    <xf numFmtId="1" fontId="19" fillId="9" borderId="8" xfId="1" applyNumberFormat="1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gcremades\Desktop\CALCULO%20RC%20nuevo.xlsx" TargetMode="External"/><Relationship Id="rId1" Type="http://schemas.openxmlformats.org/officeDocument/2006/relationships/hyperlink" Target="http://serviciopas.umh.es/files/2019/01/CALCULO-RC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C:\gcremades\Desktop\CALCULO%20RC%20nuevo.xlsx" TargetMode="External"/><Relationship Id="rId1" Type="http://schemas.openxmlformats.org/officeDocument/2006/relationships/hyperlink" Target="http://serviciopas.umh.es/files/2019/01/CALCULO-RC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file:///C:\gcremades\Desktop\CALCULO%20RC%20nuevo.xlsx" TargetMode="External"/><Relationship Id="rId1" Type="http://schemas.openxmlformats.org/officeDocument/2006/relationships/hyperlink" Target="http://serviciopas.umh.es/files/2019/01/CALCULO-RC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erviciopas.umh.es/files/2019/04/CALCULO-RC-nuevo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serviciopas.umh.es/files/2019/04/CALCULO-RC-nuevo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erviciopas.umh.es/files/2019/04/CALCULO-RC-nuevo.xls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zoomScaleNormal="100" workbookViewId="0">
      <selection activeCell="K4" sqref="K4:K5"/>
    </sheetView>
  </sheetViews>
  <sheetFormatPr baseColWidth="10" defaultColWidth="11.54296875" defaultRowHeight="14" x14ac:dyDescent="0.3"/>
  <cols>
    <col min="1" max="1" width="17.7265625" style="31" customWidth="1"/>
    <col min="2" max="2" width="20.7265625" style="31" customWidth="1"/>
    <col min="3" max="3" width="10.90625" style="38" hidden="1" customWidth="1"/>
    <col min="4" max="4" width="16.7265625" style="31" customWidth="1"/>
    <col min="5" max="5" width="17" style="32" customWidth="1"/>
    <col min="6" max="6" width="16.54296875" style="32" bestFit="1" customWidth="1"/>
    <col min="7" max="7" width="17.26953125" style="32" bestFit="1" customWidth="1"/>
    <col min="8" max="8" width="9.453125" style="32" customWidth="1"/>
    <col min="9" max="9" width="37.26953125" style="39" bestFit="1" customWidth="1"/>
    <col min="10" max="10" width="17" style="32" bestFit="1" customWidth="1"/>
    <col min="11" max="11" width="19.81640625" style="32" bestFit="1" customWidth="1"/>
    <col min="12" max="12" width="16.1796875" style="32" bestFit="1" customWidth="1"/>
    <col min="13" max="13" width="14.1796875" style="32" customWidth="1"/>
    <col min="14" max="16384" width="11.54296875" style="32"/>
  </cols>
  <sheetData>
    <row r="1" spans="1:13" ht="22.5" x14ac:dyDescent="0.45">
      <c r="A1" s="83"/>
      <c r="B1" s="123" t="s">
        <v>29</v>
      </c>
      <c r="C1" s="123"/>
      <c r="D1" s="124"/>
      <c r="E1" s="84"/>
      <c r="F1" s="123" t="s">
        <v>30</v>
      </c>
      <c r="G1" s="123"/>
      <c r="I1" s="32"/>
    </row>
    <row r="2" spans="1:13" ht="48" customHeight="1" x14ac:dyDescent="0.3">
      <c r="A2" s="171" t="s">
        <v>0</v>
      </c>
      <c r="B2" s="153" t="s">
        <v>72</v>
      </c>
      <c r="C2" s="157" t="s">
        <v>41</v>
      </c>
      <c r="D2" s="155" t="s">
        <v>76</v>
      </c>
      <c r="E2" s="171" t="s">
        <v>0</v>
      </c>
      <c r="F2" s="153" t="s">
        <v>72</v>
      </c>
      <c r="G2" s="155" t="s">
        <v>76</v>
      </c>
      <c r="I2" s="125" t="s">
        <v>47</v>
      </c>
      <c r="J2" s="125"/>
      <c r="K2" s="125"/>
      <c r="L2" s="125" t="s">
        <v>48</v>
      </c>
      <c r="M2" s="125"/>
    </row>
    <row r="3" spans="1:13" s="40" customFormat="1" ht="23.5" thickBot="1" x14ac:dyDescent="0.35">
      <c r="A3" s="172"/>
      <c r="B3" s="154"/>
      <c r="C3" s="158"/>
      <c r="D3" s="156"/>
      <c r="E3" s="172"/>
      <c r="F3" s="154"/>
      <c r="G3" s="156"/>
      <c r="I3" s="60" t="s">
        <v>49</v>
      </c>
      <c r="J3" s="60" t="s">
        <v>50</v>
      </c>
      <c r="K3" s="60" t="s">
        <v>51</v>
      </c>
      <c r="L3" s="61" t="s">
        <v>52</v>
      </c>
      <c r="M3" s="60" t="s">
        <v>53</v>
      </c>
    </row>
    <row r="4" spans="1:13" x14ac:dyDescent="0.3">
      <c r="A4" s="82">
        <v>40</v>
      </c>
      <c r="B4" s="33">
        <f>PARAMETROS!B2</f>
        <v>1502.5856633333335</v>
      </c>
      <c r="C4" s="34"/>
      <c r="D4" s="85"/>
      <c r="E4" s="82">
        <v>40</v>
      </c>
      <c r="F4" s="33">
        <f>PARAMETROS!C2</f>
        <v>4105.9814455000005</v>
      </c>
      <c r="G4" s="35">
        <f>IF(F4&gt;=$K$4,$K$4*$K$18%,F4*$K$18%)</f>
        <v>1359.0798584605002</v>
      </c>
      <c r="I4" s="126">
        <v>1</v>
      </c>
      <c r="J4" s="127">
        <v>1759.5</v>
      </c>
      <c r="K4" s="127">
        <v>4495.5</v>
      </c>
      <c r="L4" s="128">
        <v>1260</v>
      </c>
      <c r="M4" s="128">
        <v>4495.5</v>
      </c>
    </row>
    <row r="5" spans="1:13" x14ac:dyDescent="0.3">
      <c r="A5" s="41">
        <v>39</v>
      </c>
      <c r="B5" s="33">
        <f>PRODUCT(B$4,A5)/A$4</f>
        <v>1465.0210217500003</v>
      </c>
      <c r="C5" s="34">
        <f>((A5/$A$4*7.5*5)/7)*30*$C$46</f>
        <v>1660.9821428571427</v>
      </c>
      <c r="D5" s="85">
        <f>IF(B5&lt;C5,C5*$K$18%,B5*$K$18%)</f>
        <v>549.78508928571421</v>
      </c>
      <c r="E5" s="41">
        <v>39</v>
      </c>
      <c r="F5" s="33">
        <f>PRODUCT(F$4,E5)/E$4</f>
        <v>4003.3319093625005</v>
      </c>
      <c r="G5" s="35">
        <f t="shared" ref="G5:G43" si="0">IF(F5&gt;=$K$4,$K$4*$K$18%,F5*$K$18%)</f>
        <v>1325.1028619989877</v>
      </c>
      <c r="I5" s="126"/>
      <c r="J5" s="127"/>
      <c r="K5" s="127"/>
      <c r="L5" s="128"/>
      <c r="M5" s="128"/>
    </row>
    <row r="6" spans="1:13" x14ac:dyDescent="0.3">
      <c r="A6" s="41">
        <v>38</v>
      </c>
      <c r="B6" s="33">
        <f>PRODUCT(B$4,A6)/A$4</f>
        <v>1427.4563801666668</v>
      </c>
      <c r="C6" s="34">
        <f t="shared" ref="C6:C43" si="1">((A6/$A$4*7.5*5)/7)*30*$C$46</f>
        <v>1618.3928571428573</v>
      </c>
      <c r="D6" s="85">
        <f t="shared" ref="D6:D43" si="2">IF(B6&lt;C6,C6*$K$18%,B6*$K$18%)</f>
        <v>535.68803571428577</v>
      </c>
      <c r="E6" s="41">
        <v>38</v>
      </c>
      <c r="F6" s="33">
        <f>PRODUCT(F$4,E6)/E$4</f>
        <v>3900.6823732250004</v>
      </c>
      <c r="G6" s="35">
        <f t="shared" si="0"/>
        <v>1291.1258655374752</v>
      </c>
      <c r="I6" s="62"/>
      <c r="J6" s="63"/>
      <c r="K6" s="63"/>
      <c r="L6" s="64"/>
      <c r="M6" s="63"/>
    </row>
    <row r="7" spans="1:13" ht="14.5" thickBot="1" x14ac:dyDescent="0.35">
      <c r="A7" s="41">
        <v>37</v>
      </c>
      <c r="B7" s="33">
        <f t="shared" ref="B7:B43" si="3">PRODUCT(B$4,A7)/A$4</f>
        <v>1389.8917385833333</v>
      </c>
      <c r="C7" s="34">
        <f t="shared" si="1"/>
        <v>1575.8035714285716</v>
      </c>
      <c r="D7" s="85">
        <f t="shared" si="2"/>
        <v>521.59098214285723</v>
      </c>
      <c r="E7" s="41">
        <v>37</v>
      </c>
      <c r="F7" s="33">
        <f t="shared" ref="F7:F43" si="4">PRODUCT(F$4,E7)/E$4</f>
        <v>3798.0328370875004</v>
      </c>
      <c r="G7" s="35">
        <f t="shared" si="0"/>
        <v>1257.1488690759627</v>
      </c>
      <c r="I7" s="62"/>
      <c r="J7" s="65"/>
      <c r="K7" s="63"/>
      <c r="L7" s="64"/>
      <c r="M7" s="63"/>
    </row>
    <row r="8" spans="1:13" x14ac:dyDescent="0.3">
      <c r="A8" s="41">
        <v>36</v>
      </c>
      <c r="B8" s="33">
        <f t="shared" si="3"/>
        <v>1352.3270970000001</v>
      </c>
      <c r="C8" s="34">
        <f t="shared" si="1"/>
        <v>1533.2142857142856</v>
      </c>
      <c r="D8" s="85">
        <f t="shared" si="2"/>
        <v>507.49392857142857</v>
      </c>
      <c r="E8" s="41">
        <v>36</v>
      </c>
      <c r="F8" s="33">
        <f t="shared" si="4"/>
        <v>3695.3833009500004</v>
      </c>
      <c r="G8" s="35">
        <f t="shared" si="0"/>
        <v>1223.1718726144502</v>
      </c>
      <c r="I8" s="133" t="s">
        <v>54</v>
      </c>
      <c r="J8" s="133"/>
      <c r="K8" s="134"/>
      <c r="L8" s="135">
        <v>1360.78</v>
      </c>
      <c r="M8" s="63"/>
    </row>
    <row r="9" spans="1:13" ht="14.5" thickBot="1" x14ac:dyDescent="0.35">
      <c r="A9" s="41">
        <v>35</v>
      </c>
      <c r="B9" s="33">
        <f t="shared" si="3"/>
        <v>1314.7624554166669</v>
      </c>
      <c r="C9" s="34">
        <f t="shared" si="1"/>
        <v>1490.625</v>
      </c>
      <c r="D9" s="85">
        <f t="shared" si="2"/>
        <v>493.39687500000002</v>
      </c>
      <c r="E9" s="41">
        <v>35</v>
      </c>
      <c r="F9" s="33">
        <f t="shared" si="4"/>
        <v>3592.7337648125003</v>
      </c>
      <c r="G9" s="35">
        <f t="shared" si="0"/>
        <v>1189.1948761529377</v>
      </c>
      <c r="I9" s="133"/>
      <c r="J9" s="133"/>
      <c r="K9" s="134"/>
      <c r="L9" s="136"/>
      <c r="M9" s="63"/>
    </row>
    <row r="10" spans="1:13" ht="14.5" thickBot="1" x14ac:dyDescent="0.35">
      <c r="A10" s="41">
        <v>34</v>
      </c>
      <c r="B10" s="33">
        <f t="shared" si="3"/>
        <v>1277.1978138333336</v>
      </c>
      <c r="C10" s="34">
        <f t="shared" si="1"/>
        <v>1448.0357142857142</v>
      </c>
      <c r="D10" s="85">
        <f t="shared" si="2"/>
        <v>479.29982142857142</v>
      </c>
      <c r="E10" s="41">
        <v>34</v>
      </c>
      <c r="F10" s="33">
        <f t="shared" si="4"/>
        <v>3490.0842286750003</v>
      </c>
      <c r="G10" s="35">
        <f t="shared" si="0"/>
        <v>1155.2178796914252</v>
      </c>
      <c r="I10" s="66"/>
      <c r="J10" s="67"/>
      <c r="K10" s="68"/>
      <c r="L10" s="69"/>
      <c r="M10" s="63"/>
    </row>
    <row r="11" spans="1:13" x14ac:dyDescent="0.3">
      <c r="A11" s="41">
        <v>33</v>
      </c>
      <c r="B11" s="33">
        <f t="shared" si="3"/>
        <v>1239.6331722500001</v>
      </c>
      <c r="C11" s="34">
        <f t="shared" si="1"/>
        <v>1405.4464285714282</v>
      </c>
      <c r="D11" s="85">
        <f t="shared" si="2"/>
        <v>465.20276785714276</v>
      </c>
      <c r="E11" s="41">
        <v>33</v>
      </c>
      <c r="F11" s="33">
        <f t="shared" si="4"/>
        <v>3387.4346925375003</v>
      </c>
      <c r="G11" s="35">
        <f t="shared" si="0"/>
        <v>1121.2408832299127</v>
      </c>
      <c r="I11" s="137" t="s">
        <v>55</v>
      </c>
      <c r="J11" s="138"/>
      <c r="K11" s="138"/>
      <c r="L11" s="139"/>
      <c r="M11" s="63"/>
    </row>
    <row r="12" spans="1:13" ht="14.5" thickBot="1" x14ac:dyDescent="0.35">
      <c r="A12" s="41">
        <v>32</v>
      </c>
      <c r="B12" s="33">
        <f t="shared" si="3"/>
        <v>1202.0685306666669</v>
      </c>
      <c r="C12" s="34">
        <f t="shared" si="1"/>
        <v>1362.8571428571427</v>
      </c>
      <c r="D12" s="85">
        <f t="shared" si="2"/>
        <v>451.10571428571427</v>
      </c>
      <c r="E12" s="41">
        <v>32</v>
      </c>
      <c r="F12" s="33">
        <f t="shared" si="4"/>
        <v>3284.7851564000002</v>
      </c>
      <c r="G12" s="35">
        <f t="shared" si="0"/>
        <v>1087.2638867684002</v>
      </c>
      <c r="I12" s="140"/>
      <c r="J12" s="141"/>
      <c r="K12" s="141"/>
      <c r="L12" s="142"/>
      <c r="M12" s="63"/>
    </row>
    <row r="13" spans="1:13" ht="14.5" thickBot="1" x14ac:dyDescent="0.35">
      <c r="A13" s="41">
        <v>31</v>
      </c>
      <c r="B13" s="33">
        <f t="shared" si="3"/>
        <v>1164.5038890833334</v>
      </c>
      <c r="C13" s="34">
        <f t="shared" si="1"/>
        <v>1320.2678571428571</v>
      </c>
      <c r="D13" s="85">
        <f t="shared" si="2"/>
        <v>437.00866071428572</v>
      </c>
      <c r="E13" s="41">
        <v>31</v>
      </c>
      <c r="F13" s="33">
        <f t="shared" si="4"/>
        <v>3182.1356202625002</v>
      </c>
      <c r="G13" s="35">
        <f t="shared" si="0"/>
        <v>1053.2868903068877</v>
      </c>
      <c r="I13" s="70"/>
      <c r="J13" s="71" t="s">
        <v>56</v>
      </c>
      <c r="K13" s="72" t="s">
        <v>57</v>
      </c>
      <c r="L13" s="73" t="s">
        <v>58</v>
      </c>
      <c r="M13" s="63"/>
    </row>
    <row r="14" spans="1:13" x14ac:dyDescent="0.3">
      <c r="A14" s="41">
        <v>30</v>
      </c>
      <c r="B14" s="33">
        <f t="shared" si="3"/>
        <v>1126.9392475</v>
      </c>
      <c r="C14" s="34">
        <f t="shared" si="1"/>
        <v>1277.6785714285716</v>
      </c>
      <c r="D14" s="85">
        <f t="shared" si="2"/>
        <v>422.91160714285718</v>
      </c>
      <c r="E14" s="41">
        <v>30</v>
      </c>
      <c r="F14" s="33">
        <f t="shared" si="4"/>
        <v>3079.4860841250002</v>
      </c>
      <c r="G14" s="35">
        <f t="shared" si="0"/>
        <v>1019.3098938453751</v>
      </c>
      <c r="I14" s="143" t="s">
        <v>59</v>
      </c>
      <c r="J14" s="145">
        <f>IF(L8&gt;=J4,L8,J4)</f>
        <v>1759.5</v>
      </c>
      <c r="K14" s="147">
        <v>23.6</v>
      </c>
      <c r="L14" s="149">
        <f>J14*K14%</f>
        <v>415.24200000000002</v>
      </c>
      <c r="M14" s="63"/>
    </row>
    <row r="15" spans="1:13" ht="14.5" thickBot="1" x14ac:dyDescent="0.35">
      <c r="A15" s="41">
        <v>29</v>
      </c>
      <c r="B15" s="33">
        <f t="shared" si="3"/>
        <v>1089.3746059166667</v>
      </c>
      <c r="C15" s="34">
        <f t="shared" si="1"/>
        <v>1235.0892857142858</v>
      </c>
      <c r="D15" s="85">
        <f t="shared" si="2"/>
        <v>408.81455357142863</v>
      </c>
      <c r="E15" s="41">
        <v>29</v>
      </c>
      <c r="F15" s="33">
        <f t="shared" si="4"/>
        <v>2976.8365479875001</v>
      </c>
      <c r="G15" s="35">
        <f t="shared" si="0"/>
        <v>985.33289738386259</v>
      </c>
      <c r="I15" s="144"/>
      <c r="J15" s="146"/>
      <c r="K15" s="148"/>
      <c r="L15" s="150"/>
      <c r="M15" s="63"/>
    </row>
    <row r="16" spans="1:13" x14ac:dyDescent="0.3">
      <c r="A16" s="41">
        <v>28</v>
      </c>
      <c r="B16" s="33">
        <f t="shared" si="3"/>
        <v>1051.8099643333335</v>
      </c>
      <c r="C16" s="34">
        <f t="shared" si="1"/>
        <v>1192.5</v>
      </c>
      <c r="D16" s="85">
        <f t="shared" si="2"/>
        <v>394.71750000000003</v>
      </c>
      <c r="E16" s="41">
        <v>28</v>
      </c>
      <c r="F16" s="33">
        <f t="shared" si="4"/>
        <v>2874.1870118500001</v>
      </c>
      <c r="G16" s="35">
        <f t="shared" si="0"/>
        <v>951.35590092235009</v>
      </c>
      <c r="I16" s="169" t="s">
        <v>60</v>
      </c>
      <c r="J16" s="145">
        <f>IF(L8&gt;=L4,L8,L4)</f>
        <v>1360.78</v>
      </c>
      <c r="K16" s="147">
        <v>9</v>
      </c>
      <c r="L16" s="129">
        <f>J16*K16%</f>
        <v>122.47019999999999</v>
      </c>
      <c r="M16" s="63"/>
    </row>
    <row r="17" spans="1:13" ht="14.5" thickBot="1" x14ac:dyDescent="0.35">
      <c r="A17" s="41">
        <v>27</v>
      </c>
      <c r="B17" s="33">
        <f t="shared" si="3"/>
        <v>1014.2453227500002</v>
      </c>
      <c r="C17" s="34">
        <f t="shared" si="1"/>
        <v>1149.9107142857142</v>
      </c>
      <c r="D17" s="85">
        <f t="shared" si="2"/>
        <v>380.62044642857143</v>
      </c>
      <c r="E17" s="41">
        <v>27</v>
      </c>
      <c r="F17" s="33">
        <f t="shared" si="4"/>
        <v>2771.5374757125001</v>
      </c>
      <c r="G17" s="35">
        <f t="shared" si="0"/>
        <v>917.37890446083759</v>
      </c>
      <c r="I17" s="170"/>
      <c r="J17" s="146"/>
      <c r="K17" s="148">
        <v>0.2</v>
      </c>
      <c r="L17" s="130"/>
      <c r="M17" s="63"/>
    </row>
    <row r="18" spans="1:13" ht="14.5" thickBot="1" x14ac:dyDescent="0.35">
      <c r="A18" s="41">
        <v>26</v>
      </c>
      <c r="B18" s="33">
        <f t="shared" si="3"/>
        <v>976.68068116666677</v>
      </c>
      <c r="C18" s="34">
        <f t="shared" si="1"/>
        <v>1107.3214285714287</v>
      </c>
      <c r="D18" s="85">
        <f t="shared" si="2"/>
        <v>366.52339285714288</v>
      </c>
      <c r="E18" s="41">
        <v>26</v>
      </c>
      <c r="F18" s="33">
        <f t="shared" si="4"/>
        <v>2668.887939575</v>
      </c>
      <c r="G18" s="35">
        <f t="shared" si="0"/>
        <v>883.40190799932509</v>
      </c>
      <c r="I18" s="131" t="s">
        <v>61</v>
      </c>
      <c r="J18" s="132"/>
      <c r="K18" s="74">
        <v>33.1</v>
      </c>
      <c r="L18" s="75">
        <f>SUM(L14:L17)</f>
        <v>537.71220000000005</v>
      </c>
      <c r="M18" s="63"/>
    </row>
    <row r="19" spans="1:13" x14ac:dyDescent="0.3">
      <c r="A19" s="41">
        <v>25</v>
      </c>
      <c r="B19" s="33">
        <f t="shared" si="3"/>
        <v>939.11603958333342</v>
      </c>
      <c r="C19" s="34">
        <f t="shared" si="1"/>
        <v>1064.7321428571429</v>
      </c>
      <c r="D19" s="85">
        <f t="shared" si="2"/>
        <v>352.42633928571433</v>
      </c>
      <c r="E19" s="41">
        <v>25</v>
      </c>
      <c r="F19" s="33">
        <f t="shared" si="4"/>
        <v>2566.2384034375</v>
      </c>
      <c r="G19" s="35">
        <f t="shared" si="0"/>
        <v>849.42491153781259</v>
      </c>
      <c r="I19" s="76"/>
      <c r="J19" s="77"/>
      <c r="K19" s="78"/>
      <c r="L19" s="79"/>
      <c r="M19" s="63"/>
    </row>
    <row r="20" spans="1:13" x14ac:dyDescent="0.3">
      <c r="A20" s="41">
        <v>24</v>
      </c>
      <c r="B20" s="33">
        <f t="shared" si="3"/>
        <v>901.55139800000018</v>
      </c>
      <c r="C20" s="34">
        <f t="shared" si="1"/>
        <v>1022.1428571428571</v>
      </c>
      <c r="D20" s="85">
        <f t="shared" si="2"/>
        <v>338.32928571428573</v>
      </c>
      <c r="E20" s="41">
        <v>24</v>
      </c>
      <c r="F20" s="33">
        <f t="shared" si="4"/>
        <v>2463.5888672999999</v>
      </c>
      <c r="G20" s="35">
        <f t="shared" si="0"/>
        <v>815.44791507629998</v>
      </c>
      <c r="I20" s="166" t="s">
        <v>62</v>
      </c>
      <c r="J20" s="166"/>
      <c r="K20" s="166"/>
      <c r="L20" s="166"/>
      <c r="M20" s="166"/>
    </row>
    <row r="21" spans="1:13" x14ac:dyDescent="0.3">
      <c r="A21" s="41">
        <v>23</v>
      </c>
      <c r="B21" s="33">
        <f t="shared" si="3"/>
        <v>863.98675641666671</v>
      </c>
      <c r="C21" s="34">
        <f t="shared" si="1"/>
        <v>979.55357142857133</v>
      </c>
      <c r="D21" s="85">
        <f t="shared" si="2"/>
        <v>324.23223214285713</v>
      </c>
      <c r="E21" s="41">
        <v>23</v>
      </c>
      <c r="F21" s="33">
        <f t="shared" si="4"/>
        <v>2360.9393311625004</v>
      </c>
      <c r="G21" s="35">
        <f t="shared" si="0"/>
        <v>781.47091861478771</v>
      </c>
      <c r="I21" s="166"/>
      <c r="J21" s="166"/>
      <c r="K21" s="166"/>
      <c r="L21" s="166"/>
      <c r="M21" s="166"/>
    </row>
    <row r="22" spans="1:13" ht="14.5" thickBot="1" x14ac:dyDescent="0.35">
      <c r="A22" s="41">
        <v>22</v>
      </c>
      <c r="B22" s="33">
        <f t="shared" si="3"/>
        <v>826.42211483333335</v>
      </c>
      <c r="C22" s="34">
        <f t="shared" si="1"/>
        <v>936.96428571428578</v>
      </c>
      <c r="D22" s="85">
        <f t="shared" si="2"/>
        <v>310.13517857142858</v>
      </c>
      <c r="E22" s="41">
        <v>22</v>
      </c>
      <c r="F22" s="33">
        <f t="shared" si="4"/>
        <v>2258.2897950250003</v>
      </c>
      <c r="G22" s="35">
        <f t="shared" si="0"/>
        <v>747.49392215327509</v>
      </c>
      <c r="I22" s="62"/>
      <c r="J22" s="65"/>
      <c r="K22" s="63"/>
      <c r="L22" s="64"/>
      <c r="M22" s="63"/>
    </row>
    <row r="23" spans="1:13" x14ac:dyDescent="0.3">
      <c r="A23" s="41">
        <v>21</v>
      </c>
      <c r="B23" s="33">
        <f t="shared" si="3"/>
        <v>788.85747325000011</v>
      </c>
      <c r="C23" s="34">
        <f t="shared" si="1"/>
        <v>894.375</v>
      </c>
      <c r="D23" s="85">
        <f t="shared" si="2"/>
        <v>296.03812500000004</v>
      </c>
      <c r="E23" s="41">
        <v>21</v>
      </c>
      <c r="F23" s="33">
        <f t="shared" si="4"/>
        <v>2155.6402588875003</v>
      </c>
      <c r="G23" s="35">
        <f t="shared" si="0"/>
        <v>713.51692569176259</v>
      </c>
      <c r="I23" s="133" t="s">
        <v>63</v>
      </c>
      <c r="J23" s="133"/>
      <c r="K23" s="134"/>
      <c r="L23" s="167">
        <v>0</v>
      </c>
      <c r="M23" s="63"/>
    </row>
    <row r="24" spans="1:13" ht="14.5" thickBot="1" x14ac:dyDescent="0.35">
      <c r="A24" s="41">
        <v>20</v>
      </c>
      <c r="B24" s="33">
        <f t="shared" si="3"/>
        <v>751.29283166666676</v>
      </c>
      <c r="C24" s="34">
        <f t="shared" si="1"/>
        <v>851.78571428571411</v>
      </c>
      <c r="D24" s="85">
        <f t="shared" si="2"/>
        <v>281.94107142857138</v>
      </c>
      <c r="E24" s="41">
        <v>20</v>
      </c>
      <c r="F24" s="33">
        <f t="shared" si="4"/>
        <v>2052.9907227500003</v>
      </c>
      <c r="G24" s="35">
        <f t="shared" si="0"/>
        <v>679.5399292302501</v>
      </c>
      <c r="I24" s="133"/>
      <c r="J24" s="133"/>
      <c r="K24" s="134"/>
      <c r="L24" s="168"/>
      <c r="M24" s="63"/>
    </row>
    <row r="25" spans="1:13" ht="14.5" thickBot="1" x14ac:dyDescent="0.35">
      <c r="A25" s="41">
        <v>19</v>
      </c>
      <c r="B25" s="33">
        <f t="shared" si="3"/>
        <v>713.7281900833334</v>
      </c>
      <c r="C25" s="34">
        <f t="shared" si="1"/>
        <v>809.19642857142867</v>
      </c>
      <c r="D25" s="85">
        <f t="shared" si="2"/>
        <v>267.84401785714289</v>
      </c>
      <c r="E25" s="41">
        <v>19</v>
      </c>
      <c r="F25" s="33">
        <f t="shared" si="4"/>
        <v>1950.3411866125002</v>
      </c>
      <c r="G25" s="35">
        <f t="shared" si="0"/>
        <v>645.5629327687376</v>
      </c>
      <c r="I25" s="62"/>
      <c r="J25" s="65"/>
      <c r="K25" s="63"/>
      <c r="L25" s="64"/>
      <c r="M25" s="63"/>
    </row>
    <row r="26" spans="1:13" x14ac:dyDescent="0.3">
      <c r="A26" s="41">
        <v>18</v>
      </c>
      <c r="B26" s="33">
        <f t="shared" si="3"/>
        <v>676.16354850000005</v>
      </c>
      <c r="C26" s="34">
        <f t="shared" si="1"/>
        <v>766.60714285714278</v>
      </c>
      <c r="D26" s="85">
        <f t="shared" si="2"/>
        <v>253.74696428571428</v>
      </c>
      <c r="E26" s="41">
        <v>18</v>
      </c>
      <c r="F26" s="33">
        <f t="shared" si="4"/>
        <v>1847.6916504750002</v>
      </c>
      <c r="G26" s="35">
        <f t="shared" si="0"/>
        <v>611.5859363072251</v>
      </c>
      <c r="I26" s="133" t="s">
        <v>64</v>
      </c>
      <c r="J26" s="133"/>
      <c r="K26" s="134"/>
      <c r="L26" s="135">
        <v>0</v>
      </c>
      <c r="M26" s="63"/>
    </row>
    <row r="27" spans="1:13" ht="14.5" thickBot="1" x14ac:dyDescent="0.35">
      <c r="A27" s="41">
        <v>17</v>
      </c>
      <c r="B27" s="33">
        <f t="shared" si="3"/>
        <v>638.59890691666681</v>
      </c>
      <c r="C27" s="34">
        <f t="shared" si="1"/>
        <v>724.01785714285711</v>
      </c>
      <c r="D27" s="85">
        <f t="shared" si="2"/>
        <v>239.64991071428571</v>
      </c>
      <c r="E27" s="41">
        <v>17</v>
      </c>
      <c r="F27" s="33">
        <f t="shared" si="4"/>
        <v>1745.0421143375002</v>
      </c>
      <c r="G27" s="35">
        <f t="shared" si="0"/>
        <v>577.6089398457126</v>
      </c>
      <c r="I27" s="133"/>
      <c r="J27" s="133"/>
      <c r="K27" s="134"/>
      <c r="L27" s="136"/>
      <c r="M27" s="63"/>
    </row>
    <row r="28" spans="1:13" ht="14.5" thickBot="1" x14ac:dyDescent="0.35">
      <c r="A28" s="41">
        <v>16</v>
      </c>
      <c r="B28" s="33">
        <f t="shared" si="3"/>
        <v>601.03426533333345</v>
      </c>
      <c r="C28" s="34">
        <f t="shared" si="1"/>
        <v>681.42857142857133</v>
      </c>
      <c r="D28" s="85">
        <f t="shared" si="2"/>
        <v>225.55285714285714</v>
      </c>
      <c r="E28" s="41">
        <v>16</v>
      </c>
      <c r="F28" s="33">
        <f t="shared" si="4"/>
        <v>1642.3925782000001</v>
      </c>
      <c r="G28" s="35">
        <f t="shared" si="0"/>
        <v>543.6319433842001</v>
      </c>
      <c r="I28" s="62"/>
      <c r="J28" s="65"/>
      <c r="K28" s="63"/>
      <c r="L28" s="64"/>
      <c r="M28" s="63"/>
    </row>
    <row r="29" spans="1:13" x14ac:dyDescent="0.3">
      <c r="A29" s="41">
        <v>15</v>
      </c>
      <c r="B29" s="33">
        <f t="shared" si="3"/>
        <v>563.46962374999998</v>
      </c>
      <c r="C29" s="34">
        <f t="shared" si="1"/>
        <v>638.83928571428578</v>
      </c>
      <c r="D29" s="85">
        <f t="shared" si="2"/>
        <v>211.45580357142859</v>
      </c>
      <c r="E29" s="41">
        <v>15</v>
      </c>
      <c r="F29" s="33">
        <f t="shared" si="4"/>
        <v>1539.7430420625001</v>
      </c>
      <c r="G29" s="35">
        <f t="shared" si="0"/>
        <v>509.65494692268754</v>
      </c>
      <c r="I29" s="137" t="s">
        <v>65</v>
      </c>
      <c r="J29" s="138"/>
      <c r="K29" s="138"/>
      <c r="L29" s="139"/>
      <c r="M29" s="63"/>
    </row>
    <row r="30" spans="1:13" ht="14.5" thickBot="1" x14ac:dyDescent="0.35">
      <c r="A30" s="41">
        <v>14</v>
      </c>
      <c r="B30" s="33">
        <f t="shared" si="3"/>
        <v>525.90498216666674</v>
      </c>
      <c r="C30" s="34">
        <f t="shared" si="1"/>
        <v>596.25</v>
      </c>
      <c r="D30" s="85">
        <f t="shared" si="2"/>
        <v>197.35875000000001</v>
      </c>
      <c r="E30" s="41">
        <v>14</v>
      </c>
      <c r="F30" s="33">
        <f t="shared" si="4"/>
        <v>1437.093505925</v>
      </c>
      <c r="G30" s="35">
        <f t="shared" si="0"/>
        <v>475.67795046117504</v>
      </c>
      <c r="I30" s="140"/>
      <c r="J30" s="141"/>
      <c r="K30" s="141"/>
      <c r="L30" s="142"/>
      <c r="M30" s="63"/>
    </row>
    <row r="31" spans="1:13" ht="14.5" thickBot="1" x14ac:dyDescent="0.35">
      <c r="A31" s="41">
        <v>13</v>
      </c>
      <c r="B31" s="33">
        <f t="shared" si="3"/>
        <v>488.34034058333339</v>
      </c>
      <c r="C31" s="34">
        <f t="shared" si="1"/>
        <v>553.66071428571433</v>
      </c>
      <c r="D31" s="85">
        <f t="shared" si="2"/>
        <v>183.26169642857144</v>
      </c>
      <c r="E31" s="41">
        <v>13</v>
      </c>
      <c r="F31" s="33">
        <f t="shared" si="4"/>
        <v>1334.4439697875</v>
      </c>
      <c r="G31" s="35">
        <f t="shared" si="0"/>
        <v>441.70095399966254</v>
      </c>
      <c r="I31" s="80" t="s">
        <v>66</v>
      </c>
      <c r="J31" s="81" t="s">
        <v>56</v>
      </c>
      <c r="K31" s="72" t="s">
        <v>67</v>
      </c>
      <c r="L31" s="73" t="s">
        <v>58</v>
      </c>
      <c r="M31" s="63"/>
    </row>
    <row r="32" spans="1:13" x14ac:dyDescent="0.3">
      <c r="A32" s="41">
        <v>12</v>
      </c>
      <c r="B32" s="33">
        <f t="shared" si="3"/>
        <v>450.77569900000009</v>
      </c>
      <c r="C32" s="34">
        <f t="shared" si="1"/>
        <v>511.07142857142856</v>
      </c>
      <c r="D32" s="85">
        <f t="shared" si="2"/>
        <v>169.16464285714287</v>
      </c>
      <c r="E32" s="41">
        <v>12</v>
      </c>
      <c r="F32" s="33">
        <f t="shared" si="4"/>
        <v>1231.79443365</v>
      </c>
      <c r="G32" s="35">
        <f t="shared" si="0"/>
        <v>407.72395753814999</v>
      </c>
      <c r="I32" s="159">
        <f>((L23/40*7.5*5)/7)*30*$C$46</f>
        <v>0</v>
      </c>
      <c r="J32" s="161">
        <f>IF(L26&lt;I32,I32,L26)</f>
        <v>0</v>
      </c>
      <c r="K32" s="163">
        <v>33.1</v>
      </c>
      <c r="L32" s="129">
        <f>J32*K32%</f>
        <v>0</v>
      </c>
      <c r="M32" s="63"/>
    </row>
    <row r="33" spans="1:13" ht="14.5" thickBot="1" x14ac:dyDescent="0.35">
      <c r="A33" s="41">
        <v>11</v>
      </c>
      <c r="B33" s="33">
        <f t="shared" si="3"/>
        <v>413.21105741666668</v>
      </c>
      <c r="C33" s="34">
        <f t="shared" si="1"/>
        <v>468.48214285714289</v>
      </c>
      <c r="D33" s="85">
        <f t="shared" si="2"/>
        <v>155.06758928571429</v>
      </c>
      <c r="E33" s="41">
        <v>11</v>
      </c>
      <c r="F33" s="33">
        <f t="shared" si="4"/>
        <v>1129.1448975125002</v>
      </c>
      <c r="G33" s="35">
        <f t="shared" si="0"/>
        <v>373.74696107663755</v>
      </c>
      <c r="I33" s="160"/>
      <c r="J33" s="162"/>
      <c r="K33" s="164"/>
      <c r="L33" s="165"/>
      <c r="M33" s="63"/>
    </row>
    <row r="34" spans="1:13" ht="14.5" thickBot="1" x14ac:dyDescent="0.35">
      <c r="A34" s="41">
        <v>10</v>
      </c>
      <c r="B34" s="33">
        <f t="shared" si="3"/>
        <v>375.64641583333338</v>
      </c>
      <c r="C34" s="34">
        <f t="shared" si="1"/>
        <v>425.89285714285705</v>
      </c>
      <c r="D34" s="85">
        <f t="shared" si="2"/>
        <v>140.97053571428569</v>
      </c>
      <c r="E34" s="41">
        <v>10</v>
      </c>
      <c r="F34" s="33">
        <f t="shared" si="4"/>
        <v>1026.4953613750001</v>
      </c>
      <c r="G34" s="35">
        <f t="shared" si="0"/>
        <v>339.76996461512505</v>
      </c>
      <c r="I34" s="173" t="s">
        <v>68</v>
      </c>
      <c r="J34" s="174"/>
      <c r="K34" s="175"/>
      <c r="L34" s="75">
        <f>SUM(L32)</f>
        <v>0</v>
      </c>
      <c r="M34" s="63"/>
    </row>
    <row r="35" spans="1:13" x14ac:dyDescent="0.3">
      <c r="A35" s="41">
        <v>9</v>
      </c>
      <c r="B35" s="33">
        <f t="shared" si="3"/>
        <v>338.08177425000002</v>
      </c>
      <c r="C35" s="34">
        <f t="shared" si="1"/>
        <v>383.30357142857139</v>
      </c>
      <c r="D35" s="85">
        <f t="shared" si="2"/>
        <v>126.87348214285714</v>
      </c>
      <c r="E35" s="41">
        <v>9</v>
      </c>
      <c r="F35" s="33">
        <f t="shared" si="4"/>
        <v>923.84582523750009</v>
      </c>
      <c r="G35" s="35">
        <f t="shared" si="0"/>
        <v>305.79296815361255</v>
      </c>
      <c r="I35" s="62"/>
      <c r="J35" s="65"/>
      <c r="K35" s="63"/>
      <c r="L35" s="64"/>
      <c r="M35" s="63"/>
    </row>
    <row r="36" spans="1:13" x14ac:dyDescent="0.3">
      <c r="A36" s="41">
        <v>8</v>
      </c>
      <c r="B36" s="33">
        <f t="shared" si="3"/>
        <v>300.51713266666673</v>
      </c>
      <c r="C36" s="34">
        <f t="shared" si="1"/>
        <v>340.71428571428567</v>
      </c>
      <c r="D36" s="85">
        <f t="shared" si="2"/>
        <v>112.77642857142857</v>
      </c>
      <c r="E36" s="41">
        <v>8</v>
      </c>
      <c r="F36" s="33">
        <f t="shared" si="4"/>
        <v>821.19628910000006</v>
      </c>
      <c r="G36" s="35">
        <f t="shared" si="0"/>
        <v>271.81597169210005</v>
      </c>
      <c r="I36" s="151" t="s">
        <v>69</v>
      </c>
      <c r="J36" s="151"/>
      <c r="K36" s="151"/>
      <c r="L36" s="151"/>
      <c r="M36" s="152" t="s">
        <v>70</v>
      </c>
    </row>
    <row r="37" spans="1:13" x14ac:dyDescent="0.3">
      <c r="A37" s="41">
        <v>7</v>
      </c>
      <c r="B37" s="33">
        <f t="shared" si="3"/>
        <v>262.95249108333337</v>
      </c>
      <c r="C37" s="34">
        <f t="shared" si="1"/>
        <v>298.125</v>
      </c>
      <c r="D37" s="85">
        <f t="shared" si="2"/>
        <v>98.679375000000007</v>
      </c>
      <c r="E37" s="41">
        <v>7</v>
      </c>
      <c r="F37" s="33">
        <f t="shared" si="4"/>
        <v>718.54675296250002</v>
      </c>
      <c r="G37" s="35">
        <f t="shared" si="0"/>
        <v>237.83897523058752</v>
      </c>
      <c r="I37" s="151"/>
      <c r="J37" s="151"/>
      <c r="K37" s="151"/>
      <c r="L37" s="151"/>
      <c r="M37" s="152"/>
    </row>
    <row r="38" spans="1:13" x14ac:dyDescent="0.3">
      <c r="A38" s="41">
        <v>6</v>
      </c>
      <c r="B38" s="33">
        <f t="shared" si="3"/>
        <v>225.38784950000004</v>
      </c>
      <c r="C38" s="34">
        <f t="shared" si="1"/>
        <v>255.53571428571428</v>
      </c>
      <c r="D38" s="85">
        <f t="shared" si="2"/>
        <v>84.582321428571433</v>
      </c>
      <c r="E38" s="41">
        <v>6</v>
      </c>
      <c r="F38" s="33">
        <f t="shared" si="4"/>
        <v>615.89721682499999</v>
      </c>
      <c r="G38" s="35">
        <f t="shared" si="0"/>
        <v>203.86197876907499</v>
      </c>
      <c r="I38" s="32"/>
    </row>
    <row r="39" spans="1:13" x14ac:dyDescent="0.3">
      <c r="A39" s="41">
        <v>5</v>
      </c>
      <c r="B39" s="33">
        <f t="shared" si="3"/>
        <v>187.82320791666669</v>
      </c>
      <c r="C39" s="34">
        <f t="shared" si="1"/>
        <v>212.94642857142853</v>
      </c>
      <c r="D39" s="85">
        <f t="shared" si="2"/>
        <v>70.485267857142844</v>
      </c>
      <c r="E39" s="41">
        <v>5</v>
      </c>
      <c r="F39" s="33">
        <f t="shared" si="4"/>
        <v>513.24768068750006</v>
      </c>
      <c r="G39" s="35">
        <f t="shared" si="0"/>
        <v>169.88498230756252</v>
      </c>
      <c r="I39" s="32"/>
    </row>
    <row r="40" spans="1:13" x14ac:dyDescent="0.3">
      <c r="A40" s="41">
        <v>4</v>
      </c>
      <c r="B40" s="33">
        <f t="shared" si="3"/>
        <v>150.25856633333336</v>
      </c>
      <c r="C40" s="34">
        <f t="shared" si="1"/>
        <v>170.35714285714283</v>
      </c>
      <c r="D40" s="85">
        <f t="shared" si="2"/>
        <v>56.388214285714284</v>
      </c>
      <c r="E40" s="41">
        <v>4</v>
      </c>
      <c r="F40" s="33">
        <f t="shared" si="4"/>
        <v>410.59814455000003</v>
      </c>
      <c r="G40" s="35">
        <f t="shared" si="0"/>
        <v>135.90798584605002</v>
      </c>
      <c r="I40" s="32"/>
    </row>
    <row r="41" spans="1:13" x14ac:dyDescent="0.3">
      <c r="A41" s="41">
        <v>3</v>
      </c>
      <c r="B41" s="33">
        <f t="shared" si="3"/>
        <v>112.69392475000002</v>
      </c>
      <c r="C41" s="34">
        <f t="shared" si="1"/>
        <v>127.76785714285714</v>
      </c>
      <c r="D41" s="85">
        <f t="shared" si="2"/>
        <v>42.291160714285716</v>
      </c>
      <c r="E41" s="41">
        <v>3</v>
      </c>
      <c r="F41" s="33">
        <f t="shared" si="4"/>
        <v>307.94860841249999</v>
      </c>
      <c r="G41" s="35">
        <f t="shared" si="0"/>
        <v>101.9309893845375</v>
      </c>
      <c r="I41" s="32"/>
    </row>
    <row r="42" spans="1:13" x14ac:dyDescent="0.3">
      <c r="A42" s="41">
        <v>2</v>
      </c>
      <c r="B42" s="33">
        <f t="shared" si="3"/>
        <v>75.129283166666681</v>
      </c>
      <c r="C42" s="34">
        <f t="shared" si="1"/>
        <v>85.178571428571416</v>
      </c>
      <c r="D42" s="85">
        <f t="shared" si="2"/>
        <v>28.194107142857142</v>
      </c>
      <c r="E42" s="41">
        <v>2</v>
      </c>
      <c r="F42" s="33">
        <f t="shared" si="4"/>
        <v>205.29907227500001</v>
      </c>
      <c r="G42" s="35">
        <f t="shared" si="0"/>
        <v>67.953992923025012</v>
      </c>
      <c r="I42" s="32"/>
    </row>
    <row r="43" spans="1:13" ht="14.5" thickBot="1" x14ac:dyDescent="0.35">
      <c r="A43" s="88">
        <v>1</v>
      </c>
      <c r="B43" s="36">
        <f t="shared" si="3"/>
        <v>37.564641583333341</v>
      </c>
      <c r="C43" s="89">
        <f t="shared" si="1"/>
        <v>42.589285714285708</v>
      </c>
      <c r="D43" s="86">
        <f t="shared" si="2"/>
        <v>14.097053571428571</v>
      </c>
      <c r="E43" s="90">
        <v>1</v>
      </c>
      <c r="F43" s="36">
        <f t="shared" si="4"/>
        <v>102.64953613750001</v>
      </c>
      <c r="G43" s="37">
        <f t="shared" si="0"/>
        <v>33.976996461512506</v>
      </c>
      <c r="I43" s="32"/>
    </row>
    <row r="45" spans="1:13" hidden="1" x14ac:dyDescent="0.3"/>
    <row r="46" spans="1:13" s="54" customFormat="1" ht="28.5" hidden="1" thickBot="1" x14ac:dyDescent="0.3">
      <c r="A46" s="51"/>
      <c r="B46" s="52" t="s">
        <v>40</v>
      </c>
      <c r="C46" s="53">
        <v>10.6</v>
      </c>
      <c r="D46" s="51"/>
      <c r="E46" s="55"/>
      <c r="I46" s="56"/>
    </row>
    <row r="47" spans="1:13" hidden="1" x14ac:dyDescent="0.3"/>
    <row r="48" spans="1:13" hidden="1" x14ac:dyDescent="0.3"/>
  </sheetData>
  <protectedRanges>
    <protectedRange sqref="L8" name="RET TC"/>
    <protectedRange sqref="L23" name="DED"/>
    <protectedRange sqref="L26" name="RET TP"/>
    <protectedRange sqref="M36" name="CALCULO RC"/>
  </protectedRanges>
  <mergeCells count="41">
    <mergeCell ref="A2:A3"/>
    <mergeCell ref="E2:E3"/>
    <mergeCell ref="F2:F3"/>
    <mergeCell ref="G2:G3"/>
    <mergeCell ref="I34:K34"/>
    <mergeCell ref="J16:J17"/>
    <mergeCell ref="K16:K17"/>
    <mergeCell ref="I36:L37"/>
    <mergeCell ref="M36:M37"/>
    <mergeCell ref="B2:B3"/>
    <mergeCell ref="D2:D3"/>
    <mergeCell ref="C2:C3"/>
    <mergeCell ref="I29:L30"/>
    <mergeCell ref="I32:I33"/>
    <mergeCell ref="J32:J33"/>
    <mergeCell ref="K32:K33"/>
    <mergeCell ref="L32:L33"/>
    <mergeCell ref="I20:M21"/>
    <mergeCell ref="I23:K24"/>
    <mergeCell ref="L23:L24"/>
    <mergeCell ref="I26:K27"/>
    <mergeCell ref="L26:L27"/>
    <mergeCell ref="I16:I17"/>
    <mergeCell ref="L16:L17"/>
    <mergeCell ref="I18:J18"/>
    <mergeCell ref="I8:K9"/>
    <mergeCell ref="L8:L9"/>
    <mergeCell ref="I11:L12"/>
    <mergeCell ref="I14:I15"/>
    <mergeCell ref="J14:J15"/>
    <mergeCell ref="K14:K15"/>
    <mergeCell ref="L14:L15"/>
    <mergeCell ref="B1:D1"/>
    <mergeCell ref="F1:G1"/>
    <mergeCell ref="I2:K2"/>
    <mergeCell ref="L2:M2"/>
    <mergeCell ref="I4:I5"/>
    <mergeCell ref="J4:J5"/>
    <mergeCell ref="K4:K5"/>
    <mergeCell ref="L4:L5"/>
    <mergeCell ref="M4:M5"/>
  </mergeCells>
  <phoneticPr fontId="7" type="noConversion"/>
  <hyperlinks>
    <hyperlink ref="M36" r:id="rId1" xr:uid="{00000000-0004-0000-0000-000000000000}"/>
    <hyperlink ref="M36:M37" r:id="rId2" display="CALCULO RC" xr:uid="{00000000-0004-0000-0000-000001000000}"/>
  </hyperlinks>
  <pageMargins left="0.75" right="0.75" top="1" bottom="1" header="0" footer="0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topLeftCell="E1" workbookViewId="0">
      <selection activeCell="I2" sqref="I2:K2"/>
    </sheetView>
  </sheetViews>
  <sheetFormatPr baseColWidth="10" defaultColWidth="11.54296875" defaultRowHeight="14" x14ac:dyDescent="0.3"/>
  <cols>
    <col min="1" max="1" width="17.7265625" style="31" customWidth="1"/>
    <col min="2" max="2" width="16.36328125" style="31" customWidth="1"/>
    <col min="3" max="3" width="8.984375E-2" style="92" hidden="1" customWidth="1"/>
    <col min="4" max="4" width="15.1796875" style="31" bestFit="1" customWidth="1"/>
    <col min="5" max="5" width="19.54296875" style="32" customWidth="1"/>
    <col min="6" max="6" width="16.54296875" style="32" bestFit="1" customWidth="1"/>
    <col min="7" max="7" width="15.54296875" style="32" bestFit="1" customWidth="1"/>
    <col min="8" max="8" width="11.54296875" style="32"/>
    <col min="9" max="9" width="28.1796875" style="39" bestFit="1" customWidth="1"/>
    <col min="10" max="10" width="17" style="32" bestFit="1" customWidth="1"/>
    <col min="11" max="11" width="19.81640625" style="32" bestFit="1" customWidth="1"/>
    <col min="12" max="12" width="16.1796875" style="32" bestFit="1" customWidth="1"/>
    <col min="13" max="13" width="16.453125" style="32" customWidth="1"/>
    <col min="14" max="16384" width="11.54296875" style="32"/>
  </cols>
  <sheetData>
    <row r="1" spans="1:13" ht="23.5" customHeight="1" x14ac:dyDescent="0.45">
      <c r="A1" s="83"/>
      <c r="B1" s="123" t="s">
        <v>29</v>
      </c>
      <c r="C1" s="123"/>
      <c r="D1" s="124"/>
      <c r="E1" s="84"/>
      <c r="F1" s="123" t="s">
        <v>30</v>
      </c>
      <c r="G1" s="123"/>
      <c r="I1" s="32"/>
    </row>
    <row r="2" spans="1:13" ht="41.5" customHeight="1" x14ac:dyDescent="0.3">
      <c r="A2" s="171" t="s">
        <v>0</v>
      </c>
      <c r="B2" s="153" t="s">
        <v>72</v>
      </c>
      <c r="C2" s="176" t="s">
        <v>41</v>
      </c>
      <c r="D2" s="155" t="s">
        <v>78</v>
      </c>
      <c r="E2" s="171" t="s">
        <v>0</v>
      </c>
      <c r="F2" s="153" t="s">
        <v>72</v>
      </c>
      <c r="G2" s="155" t="s">
        <v>78</v>
      </c>
      <c r="I2" s="125" t="s">
        <v>47</v>
      </c>
      <c r="J2" s="125"/>
      <c r="K2" s="125"/>
      <c r="L2" s="125" t="s">
        <v>48</v>
      </c>
      <c r="M2" s="125"/>
    </row>
    <row r="3" spans="1:13" s="40" customFormat="1" ht="23.5" thickBot="1" x14ac:dyDescent="0.35">
      <c r="A3" s="172"/>
      <c r="B3" s="154"/>
      <c r="C3" s="177"/>
      <c r="D3" s="156"/>
      <c r="E3" s="172"/>
      <c r="F3" s="154"/>
      <c r="G3" s="156"/>
      <c r="I3" s="60" t="s">
        <v>49</v>
      </c>
      <c r="J3" s="60" t="s">
        <v>50</v>
      </c>
      <c r="K3" s="60" t="s">
        <v>51</v>
      </c>
      <c r="L3" s="61" t="s">
        <v>52</v>
      </c>
      <c r="M3" s="60" t="s">
        <v>53</v>
      </c>
    </row>
    <row r="4" spans="1:13" x14ac:dyDescent="0.3">
      <c r="A4" s="41">
        <v>40</v>
      </c>
      <c r="B4" s="33">
        <f>PARAMETROS!B3</f>
        <v>1502.5856633333335</v>
      </c>
      <c r="C4" s="91"/>
      <c r="D4" s="85"/>
      <c r="E4" s="41">
        <v>40</v>
      </c>
      <c r="F4" s="33">
        <f>PARAMETROS!C3</f>
        <v>3267.1216141666673</v>
      </c>
      <c r="G4" s="35">
        <f>IF(F4&gt;$K$4,$K$4*$K$18%,F4*$K$18%)</f>
        <v>1084.0309515805002</v>
      </c>
      <c r="I4" s="126">
        <v>1</v>
      </c>
      <c r="J4" s="127">
        <v>1847.4</v>
      </c>
      <c r="K4" s="127">
        <v>4720.5</v>
      </c>
      <c r="L4" s="128">
        <v>1323</v>
      </c>
      <c r="M4" s="128">
        <v>4720.5</v>
      </c>
    </row>
    <row r="5" spans="1:13" x14ac:dyDescent="0.3">
      <c r="A5" s="41">
        <v>39</v>
      </c>
      <c r="B5" s="33">
        <f>PRODUCT(B$4,A5)/A$4</f>
        <v>1465.0210217500003</v>
      </c>
      <c r="C5" s="91">
        <f>(A5/$A$4*7.5*5)/7*30*$C$46</f>
        <v>1744.03125</v>
      </c>
      <c r="D5" s="85">
        <f>IF(B5&lt;C5,C5*$K$18%,B5*$K$18%)</f>
        <v>578.66956874999994</v>
      </c>
      <c r="E5" s="41">
        <v>39</v>
      </c>
      <c r="F5" s="33">
        <f t="shared" ref="F5:F43" si="0">PRODUCT(F$4,E5)/E$4</f>
        <v>3185.4435738125003</v>
      </c>
      <c r="G5" s="35">
        <f t="shared" ref="G5:G43" si="1">IF(F5&gt;$K$4,$K$4*$K$18%,F5*$K$18%)</f>
        <v>1056.9301777909875</v>
      </c>
      <c r="I5" s="126"/>
      <c r="J5" s="127"/>
      <c r="K5" s="127"/>
      <c r="L5" s="128"/>
      <c r="M5" s="128"/>
    </row>
    <row r="6" spans="1:13" x14ac:dyDescent="0.3">
      <c r="A6" s="41">
        <v>38</v>
      </c>
      <c r="B6" s="33">
        <f t="shared" ref="B6:B43" si="2">PRODUCT(B$4,A6)/A$4</f>
        <v>1427.4563801666668</v>
      </c>
      <c r="C6" s="91">
        <f t="shared" ref="C6:C43" si="3">(A6/$A$4*7.5*5)/7*30*$C$46</f>
        <v>1699.3125000000002</v>
      </c>
      <c r="D6" s="85">
        <f t="shared" ref="D6:D43" si="4">IF(B6&lt;C6,C6*$K$18%,B6*$K$18%)</f>
        <v>563.83188749999999</v>
      </c>
      <c r="E6" s="41">
        <v>38</v>
      </c>
      <c r="F6" s="33">
        <f t="shared" si="0"/>
        <v>3103.7655334583337</v>
      </c>
      <c r="G6" s="35">
        <f t="shared" si="1"/>
        <v>1029.829404001475</v>
      </c>
      <c r="I6" s="62"/>
      <c r="J6" s="63"/>
      <c r="K6" s="63"/>
      <c r="L6" s="64"/>
      <c r="M6" s="63"/>
    </row>
    <row r="7" spans="1:13" ht="14.5" thickBot="1" x14ac:dyDescent="0.35">
      <c r="A7" s="41">
        <v>37</v>
      </c>
      <c r="B7" s="33">
        <f t="shared" si="2"/>
        <v>1389.8917385833333</v>
      </c>
      <c r="C7" s="91">
        <f t="shared" si="3"/>
        <v>1654.5937500000005</v>
      </c>
      <c r="D7" s="85">
        <f t="shared" si="4"/>
        <v>548.99420625000016</v>
      </c>
      <c r="E7" s="41">
        <v>37</v>
      </c>
      <c r="F7" s="33">
        <f t="shared" si="0"/>
        <v>3022.0874931041672</v>
      </c>
      <c r="G7" s="35">
        <f t="shared" si="1"/>
        <v>1002.7286302119626</v>
      </c>
      <c r="I7" s="62"/>
      <c r="J7" s="65"/>
      <c r="K7" s="63"/>
      <c r="L7" s="64"/>
      <c r="M7" s="63"/>
    </row>
    <row r="8" spans="1:13" ht="14.25" customHeight="1" x14ac:dyDescent="0.3">
      <c r="A8" s="41">
        <v>36</v>
      </c>
      <c r="B8" s="33">
        <f t="shared" si="2"/>
        <v>1352.3270970000001</v>
      </c>
      <c r="C8" s="91">
        <f t="shared" si="3"/>
        <v>1609.875</v>
      </c>
      <c r="D8" s="85">
        <f t="shared" si="4"/>
        <v>534.15652499999999</v>
      </c>
      <c r="E8" s="41">
        <v>36</v>
      </c>
      <c r="F8" s="33">
        <f t="shared" si="0"/>
        <v>2940.4094527500006</v>
      </c>
      <c r="G8" s="35">
        <f t="shared" si="1"/>
        <v>975.62785642245012</v>
      </c>
      <c r="I8" s="133" t="s">
        <v>54</v>
      </c>
      <c r="J8" s="133"/>
      <c r="K8" s="134"/>
      <c r="L8" s="135">
        <v>0</v>
      </c>
      <c r="M8" s="63"/>
    </row>
    <row r="9" spans="1:13" ht="14.5" thickBot="1" x14ac:dyDescent="0.35">
      <c r="A9" s="41">
        <v>35</v>
      </c>
      <c r="B9" s="33">
        <f t="shared" si="2"/>
        <v>1314.7624554166669</v>
      </c>
      <c r="C9" s="91">
        <f t="shared" si="3"/>
        <v>1565.15625</v>
      </c>
      <c r="D9" s="85">
        <f t="shared" si="4"/>
        <v>519.31884374999993</v>
      </c>
      <c r="E9" s="41">
        <v>35</v>
      </c>
      <c r="F9" s="33">
        <f t="shared" si="0"/>
        <v>2858.731412395834</v>
      </c>
      <c r="G9" s="35">
        <f t="shared" si="1"/>
        <v>948.52708263293766</v>
      </c>
      <c r="I9" s="133"/>
      <c r="J9" s="133"/>
      <c r="K9" s="134"/>
      <c r="L9" s="136"/>
      <c r="M9" s="63"/>
    </row>
    <row r="10" spans="1:13" ht="14.5" thickBot="1" x14ac:dyDescent="0.35">
      <c r="A10" s="41">
        <v>34</v>
      </c>
      <c r="B10" s="33">
        <f t="shared" si="2"/>
        <v>1277.1978138333336</v>
      </c>
      <c r="C10" s="91">
        <f t="shared" si="3"/>
        <v>1520.4375000000002</v>
      </c>
      <c r="D10" s="85">
        <f t="shared" si="4"/>
        <v>504.48116250000004</v>
      </c>
      <c r="E10" s="41">
        <v>34</v>
      </c>
      <c r="F10" s="33">
        <f t="shared" si="0"/>
        <v>2777.053372041667</v>
      </c>
      <c r="G10" s="35">
        <f t="shared" si="1"/>
        <v>921.42630884342509</v>
      </c>
      <c r="I10" s="66"/>
      <c r="J10" s="67"/>
      <c r="K10" s="68"/>
      <c r="L10" s="69"/>
      <c r="M10" s="63"/>
    </row>
    <row r="11" spans="1:13" ht="14.25" customHeight="1" x14ac:dyDescent="0.3">
      <c r="A11" s="41">
        <v>33</v>
      </c>
      <c r="B11" s="33">
        <f t="shared" si="2"/>
        <v>1239.6331722500001</v>
      </c>
      <c r="C11" s="91">
        <f t="shared" si="3"/>
        <v>1475.7187499999998</v>
      </c>
      <c r="D11" s="85">
        <f t="shared" si="4"/>
        <v>489.64348124999992</v>
      </c>
      <c r="E11" s="41">
        <v>33</v>
      </c>
      <c r="F11" s="33">
        <f t="shared" si="0"/>
        <v>2695.3753316875004</v>
      </c>
      <c r="G11" s="35">
        <f t="shared" si="1"/>
        <v>894.32553505391263</v>
      </c>
      <c r="I11" s="137" t="s">
        <v>55</v>
      </c>
      <c r="J11" s="138"/>
      <c r="K11" s="138"/>
      <c r="L11" s="139"/>
      <c r="M11" s="63"/>
    </row>
    <row r="12" spans="1:13" ht="14.5" thickBot="1" x14ac:dyDescent="0.35">
      <c r="A12" s="41">
        <v>32</v>
      </c>
      <c r="B12" s="33">
        <f t="shared" si="2"/>
        <v>1202.0685306666669</v>
      </c>
      <c r="C12" s="91">
        <f t="shared" si="3"/>
        <v>1431</v>
      </c>
      <c r="D12" s="85">
        <f t="shared" si="4"/>
        <v>474.80579999999998</v>
      </c>
      <c r="E12" s="41">
        <v>32</v>
      </c>
      <c r="F12" s="33">
        <f t="shared" si="0"/>
        <v>2613.6972913333339</v>
      </c>
      <c r="G12" s="35">
        <f t="shared" si="1"/>
        <v>867.22476126440017</v>
      </c>
      <c r="I12" s="140"/>
      <c r="J12" s="141"/>
      <c r="K12" s="141"/>
      <c r="L12" s="142"/>
      <c r="M12" s="63"/>
    </row>
    <row r="13" spans="1:13" ht="14.5" thickBot="1" x14ac:dyDescent="0.35">
      <c r="A13" s="41">
        <v>31</v>
      </c>
      <c r="B13" s="33">
        <f t="shared" si="2"/>
        <v>1164.5038890833334</v>
      </c>
      <c r="C13" s="91">
        <f t="shared" si="3"/>
        <v>1386.2812500000002</v>
      </c>
      <c r="D13" s="85">
        <f t="shared" si="4"/>
        <v>459.96811875000003</v>
      </c>
      <c r="E13" s="41">
        <v>31</v>
      </c>
      <c r="F13" s="33">
        <f t="shared" si="0"/>
        <v>2532.0192509791673</v>
      </c>
      <c r="G13" s="35">
        <f t="shared" si="1"/>
        <v>840.12398747488771</v>
      </c>
      <c r="I13" s="70"/>
      <c r="J13" s="71" t="s">
        <v>56</v>
      </c>
      <c r="K13" s="72" t="s">
        <v>57</v>
      </c>
      <c r="L13" s="73" t="s">
        <v>58</v>
      </c>
      <c r="M13" s="63"/>
    </row>
    <row r="14" spans="1:13" ht="14.25" customHeight="1" x14ac:dyDescent="0.3">
      <c r="A14" s="41">
        <v>30</v>
      </c>
      <c r="B14" s="33">
        <f t="shared" si="2"/>
        <v>1126.9392475</v>
      </c>
      <c r="C14" s="91">
        <f t="shared" si="3"/>
        <v>1341.5625000000002</v>
      </c>
      <c r="D14" s="85">
        <f t="shared" si="4"/>
        <v>445.13043750000003</v>
      </c>
      <c r="E14" s="41">
        <v>30</v>
      </c>
      <c r="F14" s="33">
        <f t="shared" si="0"/>
        <v>2450.3412106250007</v>
      </c>
      <c r="G14" s="35">
        <f t="shared" si="1"/>
        <v>813.02321368537525</v>
      </c>
      <c r="I14" s="143" t="s">
        <v>59</v>
      </c>
      <c r="J14" s="145">
        <f>IF(L8&gt;=J4,L8,J4)</f>
        <v>1847.4</v>
      </c>
      <c r="K14" s="147">
        <v>24.18</v>
      </c>
      <c r="L14" s="149">
        <f>J14*K14%</f>
        <v>446.70132000000001</v>
      </c>
      <c r="M14" s="63"/>
    </row>
    <row r="15" spans="1:13" ht="14.5" thickBot="1" x14ac:dyDescent="0.35">
      <c r="A15" s="41">
        <v>29</v>
      </c>
      <c r="B15" s="33">
        <f t="shared" si="2"/>
        <v>1089.3746059166667</v>
      </c>
      <c r="C15" s="91">
        <f t="shared" si="3"/>
        <v>1296.8437500000002</v>
      </c>
      <c r="D15" s="85">
        <f t="shared" si="4"/>
        <v>430.29275625000008</v>
      </c>
      <c r="E15" s="41">
        <v>29</v>
      </c>
      <c r="F15" s="33">
        <f t="shared" si="0"/>
        <v>2368.6631702708337</v>
      </c>
      <c r="G15" s="35">
        <f t="shared" si="1"/>
        <v>785.92243989586257</v>
      </c>
      <c r="I15" s="144"/>
      <c r="J15" s="146"/>
      <c r="K15" s="148"/>
      <c r="L15" s="150"/>
      <c r="M15" s="63"/>
    </row>
    <row r="16" spans="1:13" ht="14.25" customHeight="1" x14ac:dyDescent="0.3">
      <c r="A16" s="41">
        <v>28</v>
      </c>
      <c r="B16" s="33">
        <f t="shared" si="2"/>
        <v>1051.8099643333335</v>
      </c>
      <c r="C16" s="91">
        <f t="shared" si="3"/>
        <v>1252.125</v>
      </c>
      <c r="D16" s="85">
        <f t="shared" si="4"/>
        <v>415.45507499999997</v>
      </c>
      <c r="E16" s="41">
        <v>28</v>
      </c>
      <c r="F16" s="33">
        <f t="shared" si="0"/>
        <v>2286.9851299166671</v>
      </c>
      <c r="G16" s="35">
        <f t="shared" si="1"/>
        <v>758.82166610635011</v>
      </c>
      <c r="I16" s="169" t="s">
        <v>60</v>
      </c>
      <c r="J16" s="145">
        <f>IF(L8&gt;=L4,L8,L4)</f>
        <v>1323</v>
      </c>
      <c r="K16" s="147">
        <v>9</v>
      </c>
      <c r="L16" s="129">
        <f>J16*K16%</f>
        <v>119.07</v>
      </c>
      <c r="M16" s="63"/>
    </row>
    <row r="17" spans="1:13" ht="14.5" thickBot="1" x14ac:dyDescent="0.35">
      <c r="A17" s="41">
        <v>27</v>
      </c>
      <c r="B17" s="33">
        <f t="shared" si="2"/>
        <v>1014.2453227500002</v>
      </c>
      <c r="C17" s="91">
        <f t="shared" si="3"/>
        <v>1207.40625</v>
      </c>
      <c r="D17" s="85">
        <f t="shared" si="4"/>
        <v>400.61739374999996</v>
      </c>
      <c r="E17" s="41">
        <v>27</v>
      </c>
      <c r="F17" s="33">
        <f t="shared" si="0"/>
        <v>2205.3070895625006</v>
      </c>
      <c r="G17" s="35">
        <f t="shared" si="1"/>
        <v>731.72089231683765</v>
      </c>
      <c r="I17" s="170"/>
      <c r="J17" s="146"/>
      <c r="K17" s="148">
        <v>0.2</v>
      </c>
      <c r="L17" s="130"/>
      <c r="M17" s="63"/>
    </row>
    <row r="18" spans="1:13" ht="15" customHeight="1" thickBot="1" x14ac:dyDescent="0.35">
      <c r="A18" s="41">
        <v>26</v>
      </c>
      <c r="B18" s="33">
        <f t="shared" si="2"/>
        <v>976.68068116666677</v>
      </c>
      <c r="C18" s="91">
        <f t="shared" si="3"/>
        <v>1162.6875000000002</v>
      </c>
      <c r="D18" s="85">
        <f t="shared" si="4"/>
        <v>385.77971250000007</v>
      </c>
      <c r="E18" s="41">
        <v>26</v>
      </c>
      <c r="F18" s="33">
        <f t="shared" si="0"/>
        <v>2123.629049208334</v>
      </c>
      <c r="G18" s="35">
        <f t="shared" si="1"/>
        <v>704.62011852732519</v>
      </c>
      <c r="I18" s="131" t="s">
        <v>61</v>
      </c>
      <c r="J18" s="132"/>
      <c r="K18" s="74">
        <f>(K14+K16)</f>
        <v>33.18</v>
      </c>
      <c r="L18" s="75">
        <f>SUM(L14:L17)</f>
        <v>565.77132000000006</v>
      </c>
      <c r="M18" s="63"/>
    </row>
    <row r="19" spans="1:13" x14ac:dyDescent="0.3">
      <c r="A19" s="41">
        <v>25</v>
      </c>
      <c r="B19" s="33">
        <f t="shared" si="2"/>
        <v>939.11603958333342</v>
      </c>
      <c r="C19" s="91">
        <f t="shared" si="3"/>
        <v>1117.96875</v>
      </c>
      <c r="D19" s="85">
        <f t="shared" si="4"/>
        <v>370.94203124999996</v>
      </c>
      <c r="E19" s="41">
        <v>25</v>
      </c>
      <c r="F19" s="33">
        <f t="shared" si="0"/>
        <v>2041.9510088541672</v>
      </c>
      <c r="G19" s="35">
        <f t="shared" si="1"/>
        <v>677.51934473781262</v>
      </c>
      <c r="I19" s="76"/>
      <c r="J19" s="77"/>
      <c r="K19" s="78"/>
      <c r="L19" s="79"/>
      <c r="M19" s="63"/>
    </row>
    <row r="20" spans="1:13" ht="14.25" customHeight="1" x14ac:dyDescent="0.3">
      <c r="A20" s="41">
        <v>24</v>
      </c>
      <c r="B20" s="33">
        <f t="shared" si="2"/>
        <v>901.55139800000018</v>
      </c>
      <c r="C20" s="91">
        <f t="shared" si="3"/>
        <v>1073.25</v>
      </c>
      <c r="D20" s="85">
        <f t="shared" si="4"/>
        <v>356.10435000000001</v>
      </c>
      <c r="E20" s="41">
        <v>24</v>
      </c>
      <c r="F20" s="33">
        <f t="shared" si="0"/>
        <v>1960.2729685000006</v>
      </c>
      <c r="G20" s="35">
        <f t="shared" si="1"/>
        <v>650.41857094830016</v>
      </c>
      <c r="I20" s="166" t="s">
        <v>62</v>
      </c>
      <c r="J20" s="166"/>
      <c r="K20" s="166"/>
      <c r="L20" s="166"/>
      <c r="M20" s="166"/>
    </row>
    <row r="21" spans="1:13" x14ac:dyDescent="0.3">
      <c r="A21" s="41">
        <v>23</v>
      </c>
      <c r="B21" s="33">
        <f t="shared" si="2"/>
        <v>863.98675641666671</v>
      </c>
      <c r="C21" s="91">
        <f t="shared" si="3"/>
        <v>1028.53125</v>
      </c>
      <c r="D21" s="85">
        <f t="shared" si="4"/>
        <v>341.26666875000001</v>
      </c>
      <c r="E21" s="41">
        <v>23</v>
      </c>
      <c r="F21" s="33">
        <f t="shared" si="0"/>
        <v>1878.5949281458336</v>
      </c>
      <c r="G21" s="35">
        <f t="shared" si="1"/>
        <v>623.31779715878758</v>
      </c>
      <c r="I21" s="166"/>
      <c r="J21" s="166"/>
      <c r="K21" s="166"/>
      <c r="L21" s="166"/>
      <c r="M21" s="166"/>
    </row>
    <row r="22" spans="1:13" ht="14.5" thickBot="1" x14ac:dyDescent="0.35">
      <c r="A22" s="41">
        <v>22</v>
      </c>
      <c r="B22" s="33">
        <f t="shared" si="2"/>
        <v>826.42211483333335</v>
      </c>
      <c r="C22" s="91">
        <f t="shared" si="3"/>
        <v>983.81250000000023</v>
      </c>
      <c r="D22" s="85">
        <f t="shared" si="4"/>
        <v>326.42898750000006</v>
      </c>
      <c r="E22" s="41">
        <v>22</v>
      </c>
      <c r="F22" s="33">
        <f t="shared" si="0"/>
        <v>1796.9168877916668</v>
      </c>
      <c r="G22" s="35">
        <f t="shared" si="1"/>
        <v>596.21702336927501</v>
      </c>
      <c r="I22" s="62"/>
      <c r="J22" s="65"/>
      <c r="K22" s="63"/>
      <c r="L22" s="64"/>
      <c r="M22" s="63"/>
    </row>
    <row r="23" spans="1:13" ht="14.25" customHeight="1" x14ac:dyDescent="0.3">
      <c r="A23" s="41">
        <v>21</v>
      </c>
      <c r="B23" s="33">
        <f t="shared" si="2"/>
        <v>788.85747325000011</v>
      </c>
      <c r="C23" s="91">
        <f t="shared" si="3"/>
        <v>939.09375000000011</v>
      </c>
      <c r="D23" s="85">
        <f t="shared" si="4"/>
        <v>311.59130625</v>
      </c>
      <c r="E23" s="41">
        <v>21</v>
      </c>
      <c r="F23" s="33">
        <f t="shared" si="0"/>
        <v>1715.2388474375002</v>
      </c>
      <c r="G23" s="35">
        <f t="shared" si="1"/>
        <v>569.11624957976255</v>
      </c>
      <c r="I23" s="133" t="s">
        <v>63</v>
      </c>
      <c r="J23" s="133"/>
      <c r="K23" s="134"/>
      <c r="L23" s="167">
        <v>0</v>
      </c>
      <c r="M23" s="63"/>
    </row>
    <row r="24" spans="1:13" ht="14.5" thickBot="1" x14ac:dyDescent="0.35">
      <c r="A24" s="41">
        <v>20</v>
      </c>
      <c r="B24" s="33">
        <f t="shared" si="2"/>
        <v>751.29283166666676</v>
      </c>
      <c r="C24" s="91">
        <f t="shared" si="3"/>
        <v>894.375</v>
      </c>
      <c r="D24" s="85">
        <f t="shared" si="4"/>
        <v>296.753625</v>
      </c>
      <c r="E24" s="41">
        <v>20</v>
      </c>
      <c r="F24" s="33">
        <f t="shared" si="0"/>
        <v>1633.5608070833337</v>
      </c>
      <c r="G24" s="35">
        <f t="shared" si="1"/>
        <v>542.01547579025009</v>
      </c>
      <c r="I24" s="133"/>
      <c r="J24" s="133"/>
      <c r="K24" s="134"/>
      <c r="L24" s="168"/>
      <c r="M24" s="63"/>
    </row>
    <row r="25" spans="1:13" ht="14.5" thickBot="1" x14ac:dyDescent="0.35">
      <c r="A25" s="41">
        <v>19</v>
      </c>
      <c r="B25" s="33">
        <f t="shared" si="2"/>
        <v>713.7281900833334</v>
      </c>
      <c r="C25" s="91">
        <f t="shared" si="3"/>
        <v>849.65625000000011</v>
      </c>
      <c r="D25" s="85">
        <f t="shared" si="4"/>
        <v>281.91594375</v>
      </c>
      <c r="E25" s="41">
        <v>19</v>
      </c>
      <c r="F25" s="33">
        <f t="shared" si="0"/>
        <v>1551.8827667291669</v>
      </c>
      <c r="G25" s="35">
        <f t="shared" si="1"/>
        <v>514.91470200073752</v>
      </c>
      <c r="I25" s="62"/>
      <c r="J25" s="65"/>
      <c r="K25" s="63"/>
      <c r="L25" s="64"/>
      <c r="M25" s="63"/>
    </row>
    <row r="26" spans="1:13" ht="14.25" customHeight="1" x14ac:dyDescent="0.3">
      <c r="A26" s="41">
        <v>18</v>
      </c>
      <c r="B26" s="33">
        <f t="shared" si="2"/>
        <v>676.16354850000005</v>
      </c>
      <c r="C26" s="91">
        <f t="shared" si="3"/>
        <v>804.9375</v>
      </c>
      <c r="D26" s="85">
        <f t="shared" si="4"/>
        <v>267.07826249999999</v>
      </c>
      <c r="E26" s="41">
        <v>18</v>
      </c>
      <c r="F26" s="33">
        <f t="shared" si="0"/>
        <v>1470.2047263750003</v>
      </c>
      <c r="G26" s="35">
        <f t="shared" si="1"/>
        <v>487.81392821122506</v>
      </c>
      <c r="I26" s="133" t="s">
        <v>64</v>
      </c>
      <c r="J26" s="133"/>
      <c r="K26" s="134"/>
      <c r="L26" s="135">
        <v>0</v>
      </c>
      <c r="M26" s="63"/>
    </row>
    <row r="27" spans="1:13" ht="14.5" thickBot="1" x14ac:dyDescent="0.35">
      <c r="A27" s="41">
        <v>17</v>
      </c>
      <c r="B27" s="33">
        <f t="shared" si="2"/>
        <v>638.59890691666681</v>
      </c>
      <c r="C27" s="91">
        <f t="shared" si="3"/>
        <v>760.21875000000011</v>
      </c>
      <c r="D27" s="85">
        <f t="shared" si="4"/>
        <v>252.24058125000002</v>
      </c>
      <c r="E27" s="41">
        <v>17</v>
      </c>
      <c r="F27" s="33">
        <f t="shared" si="0"/>
        <v>1388.5266860208335</v>
      </c>
      <c r="G27" s="35">
        <f t="shared" si="1"/>
        <v>460.71315442171255</v>
      </c>
      <c r="I27" s="133"/>
      <c r="J27" s="133"/>
      <c r="K27" s="134"/>
      <c r="L27" s="136"/>
      <c r="M27" s="63"/>
    </row>
    <row r="28" spans="1:13" ht="14.5" thickBot="1" x14ac:dyDescent="0.35">
      <c r="A28" s="41">
        <v>16</v>
      </c>
      <c r="B28" s="33">
        <f t="shared" si="2"/>
        <v>601.03426533333345</v>
      </c>
      <c r="C28" s="91">
        <f t="shared" si="3"/>
        <v>715.5</v>
      </c>
      <c r="D28" s="85">
        <f t="shared" si="4"/>
        <v>237.40289999999999</v>
      </c>
      <c r="E28" s="41">
        <v>16</v>
      </c>
      <c r="F28" s="33">
        <f t="shared" si="0"/>
        <v>1306.8486456666669</v>
      </c>
      <c r="G28" s="35">
        <f t="shared" si="1"/>
        <v>433.61238063220009</v>
      </c>
      <c r="I28" s="62"/>
      <c r="J28" s="65"/>
      <c r="K28" s="63"/>
      <c r="L28" s="64"/>
      <c r="M28" s="63"/>
    </row>
    <row r="29" spans="1:13" ht="14.25" customHeight="1" x14ac:dyDescent="0.3">
      <c r="A29" s="41">
        <v>15</v>
      </c>
      <c r="B29" s="33">
        <f t="shared" si="2"/>
        <v>563.46962374999998</v>
      </c>
      <c r="C29" s="91">
        <f t="shared" si="3"/>
        <v>670.78125000000011</v>
      </c>
      <c r="D29" s="85">
        <f t="shared" si="4"/>
        <v>222.56521875000001</v>
      </c>
      <c r="E29" s="41">
        <v>15</v>
      </c>
      <c r="F29" s="33">
        <f t="shared" si="0"/>
        <v>1225.1706053125004</v>
      </c>
      <c r="G29" s="35">
        <f t="shared" si="1"/>
        <v>406.51160684268763</v>
      </c>
      <c r="I29" s="137" t="s">
        <v>65</v>
      </c>
      <c r="J29" s="138"/>
      <c r="K29" s="138"/>
      <c r="L29" s="139"/>
      <c r="M29" s="63"/>
    </row>
    <row r="30" spans="1:13" ht="14.5" thickBot="1" x14ac:dyDescent="0.35">
      <c r="A30" s="41">
        <v>14</v>
      </c>
      <c r="B30" s="33">
        <f t="shared" si="2"/>
        <v>525.90498216666674</v>
      </c>
      <c r="C30" s="91">
        <f t="shared" si="3"/>
        <v>626.0625</v>
      </c>
      <c r="D30" s="85">
        <f t="shared" si="4"/>
        <v>207.72753749999998</v>
      </c>
      <c r="E30" s="41">
        <v>14</v>
      </c>
      <c r="F30" s="33">
        <f t="shared" si="0"/>
        <v>1143.4925649583336</v>
      </c>
      <c r="G30" s="35">
        <f t="shared" si="1"/>
        <v>379.41083305317505</v>
      </c>
      <c r="I30" s="140"/>
      <c r="J30" s="141"/>
      <c r="K30" s="141"/>
      <c r="L30" s="142"/>
      <c r="M30" s="63"/>
    </row>
    <row r="31" spans="1:13" ht="14.5" thickBot="1" x14ac:dyDescent="0.35">
      <c r="A31" s="41">
        <v>13</v>
      </c>
      <c r="B31" s="33">
        <f t="shared" si="2"/>
        <v>488.34034058333339</v>
      </c>
      <c r="C31" s="91">
        <f t="shared" si="3"/>
        <v>581.34375000000011</v>
      </c>
      <c r="D31" s="85">
        <f t="shared" si="4"/>
        <v>192.88985625000004</v>
      </c>
      <c r="E31" s="41">
        <v>13</v>
      </c>
      <c r="F31" s="33">
        <f t="shared" si="0"/>
        <v>1061.814524604167</v>
      </c>
      <c r="G31" s="35">
        <f t="shared" si="1"/>
        <v>352.31005926366259</v>
      </c>
      <c r="I31" s="80" t="s">
        <v>66</v>
      </c>
      <c r="J31" s="81" t="s">
        <v>56</v>
      </c>
      <c r="K31" s="72" t="s">
        <v>67</v>
      </c>
      <c r="L31" s="73" t="s">
        <v>58</v>
      </c>
      <c r="M31" s="63"/>
    </row>
    <row r="32" spans="1:13" x14ac:dyDescent="0.3">
      <c r="A32" s="41">
        <v>12</v>
      </c>
      <c r="B32" s="33">
        <f t="shared" si="2"/>
        <v>450.77569900000009</v>
      </c>
      <c r="C32" s="91">
        <f t="shared" si="3"/>
        <v>536.625</v>
      </c>
      <c r="D32" s="85">
        <f t="shared" si="4"/>
        <v>178.05217500000001</v>
      </c>
      <c r="E32" s="41">
        <v>12</v>
      </c>
      <c r="F32" s="33">
        <f t="shared" si="0"/>
        <v>980.13648425000031</v>
      </c>
      <c r="G32" s="35">
        <f t="shared" si="1"/>
        <v>325.20928547415008</v>
      </c>
      <c r="I32" s="159">
        <f>(L23/40*7.5*5)/7*30*$C$46</f>
        <v>0</v>
      </c>
      <c r="J32" s="161">
        <f>IF(L26&lt;I32,I32,L26)</f>
        <v>0</v>
      </c>
      <c r="K32" s="163">
        <v>33.18</v>
      </c>
      <c r="L32" s="129">
        <f>J32*K32%</f>
        <v>0</v>
      </c>
      <c r="M32" s="63"/>
    </row>
    <row r="33" spans="1:13" ht="14.5" thickBot="1" x14ac:dyDescent="0.35">
      <c r="A33" s="41">
        <v>11</v>
      </c>
      <c r="B33" s="33">
        <f t="shared" si="2"/>
        <v>413.21105741666668</v>
      </c>
      <c r="C33" s="91">
        <f t="shared" si="3"/>
        <v>491.90625000000011</v>
      </c>
      <c r="D33" s="85">
        <f t="shared" si="4"/>
        <v>163.21449375000003</v>
      </c>
      <c r="E33" s="41">
        <v>11</v>
      </c>
      <c r="F33" s="33">
        <f t="shared" si="0"/>
        <v>898.4584438958334</v>
      </c>
      <c r="G33" s="35">
        <f t="shared" si="1"/>
        <v>298.10851168463751</v>
      </c>
      <c r="I33" s="160"/>
      <c r="J33" s="162"/>
      <c r="K33" s="164"/>
      <c r="L33" s="165"/>
      <c r="M33" s="63"/>
    </row>
    <row r="34" spans="1:13" ht="15" customHeight="1" thickBot="1" x14ac:dyDescent="0.35">
      <c r="A34" s="41">
        <v>10</v>
      </c>
      <c r="B34" s="33">
        <f t="shared" si="2"/>
        <v>375.64641583333338</v>
      </c>
      <c r="C34" s="91">
        <f t="shared" si="3"/>
        <v>447.1875</v>
      </c>
      <c r="D34" s="85">
        <f t="shared" si="4"/>
        <v>148.3768125</v>
      </c>
      <c r="E34" s="41">
        <v>10</v>
      </c>
      <c r="F34" s="33">
        <f t="shared" si="0"/>
        <v>816.78040354166683</v>
      </c>
      <c r="G34" s="35">
        <f t="shared" si="1"/>
        <v>271.00773789512505</v>
      </c>
      <c r="I34" s="173" t="s">
        <v>68</v>
      </c>
      <c r="J34" s="174"/>
      <c r="K34" s="175"/>
      <c r="L34" s="75">
        <f>SUM(L32)</f>
        <v>0</v>
      </c>
      <c r="M34" s="63"/>
    </row>
    <row r="35" spans="1:13" x14ac:dyDescent="0.3">
      <c r="A35" s="41">
        <v>9</v>
      </c>
      <c r="B35" s="33">
        <f t="shared" si="2"/>
        <v>338.08177425000002</v>
      </c>
      <c r="C35" s="91">
        <f t="shared" si="3"/>
        <v>402.46875</v>
      </c>
      <c r="D35" s="85">
        <f t="shared" si="4"/>
        <v>133.53913125</v>
      </c>
      <c r="E35" s="41">
        <v>9</v>
      </c>
      <c r="F35" s="33">
        <f t="shared" si="0"/>
        <v>735.10236318750015</v>
      </c>
      <c r="G35" s="35">
        <f t="shared" si="1"/>
        <v>243.90696410561253</v>
      </c>
      <c r="I35" s="62"/>
      <c r="J35" s="65"/>
      <c r="K35" s="63"/>
      <c r="L35" s="64"/>
      <c r="M35" s="63"/>
    </row>
    <row r="36" spans="1:13" ht="14.25" customHeight="1" x14ac:dyDescent="0.3">
      <c r="A36" s="41">
        <v>8</v>
      </c>
      <c r="B36" s="33">
        <f t="shared" si="2"/>
        <v>300.51713266666673</v>
      </c>
      <c r="C36" s="91">
        <f t="shared" si="3"/>
        <v>357.75</v>
      </c>
      <c r="D36" s="85">
        <f t="shared" si="4"/>
        <v>118.70144999999999</v>
      </c>
      <c r="E36" s="41">
        <v>8</v>
      </c>
      <c r="F36" s="33">
        <f t="shared" si="0"/>
        <v>653.42432283333346</v>
      </c>
      <c r="G36" s="35">
        <f t="shared" si="1"/>
        <v>216.80619031610004</v>
      </c>
      <c r="I36" s="151" t="s">
        <v>69</v>
      </c>
      <c r="J36" s="151"/>
      <c r="K36" s="151"/>
      <c r="L36" s="151"/>
      <c r="M36" s="152" t="s">
        <v>70</v>
      </c>
    </row>
    <row r="37" spans="1:13" x14ac:dyDescent="0.3">
      <c r="A37" s="41">
        <v>7</v>
      </c>
      <c r="B37" s="33">
        <f t="shared" si="2"/>
        <v>262.95249108333337</v>
      </c>
      <c r="C37" s="91">
        <f t="shared" si="3"/>
        <v>313.03125</v>
      </c>
      <c r="D37" s="85">
        <f t="shared" si="4"/>
        <v>103.86376874999999</v>
      </c>
      <c r="E37" s="41">
        <v>7</v>
      </c>
      <c r="F37" s="33">
        <f t="shared" si="0"/>
        <v>571.74628247916678</v>
      </c>
      <c r="G37" s="35">
        <f t="shared" si="1"/>
        <v>189.70541652658753</v>
      </c>
      <c r="I37" s="151"/>
      <c r="J37" s="151"/>
      <c r="K37" s="151"/>
      <c r="L37" s="151"/>
      <c r="M37" s="152"/>
    </row>
    <row r="38" spans="1:13" x14ac:dyDescent="0.3">
      <c r="A38" s="41">
        <v>6</v>
      </c>
      <c r="B38" s="33">
        <f t="shared" si="2"/>
        <v>225.38784950000004</v>
      </c>
      <c r="C38" s="91">
        <f t="shared" si="3"/>
        <v>268.3125</v>
      </c>
      <c r="D38" s="85">
        <f t="shared" si="4"/>
        <v>89.026087500000003</v>
      </c>
      <c r="E38" s="41">
        <v>6</v>
      </c>
      <c r="F38" s="33">
        <f t="shared" si="0"/>
        <v>490.06824212500015</v>
      </c>
      <c r="G38" s="35">
        <f t="shared" si="1"/>
        <v>162.60464273707504</v>
      </c>
      <c r="I38" s="32"/>
    </row>
    <row r="39" spans="1:13" x14ac:dyDescent="0.3">
      <c r="A39" s="41">
        <v>5</v>
      </c>
      <c r="B39" s="33">
        <f t="shared" si="2"/>
        <v>187.82320791666669</v>
      </c>
      <c r="C39" s="91">
        <f t="shared" si="3"/>
        <v>223.59375</v>
      </c>
      <c r="D39" s="85">
        <f t="shared" si="4"/>
        <v>74.18840625</v>
      </c>
      <c r="E39" s="41">
        <v>5</v>
      </c>
      <c r="F39" s="33">
        <f t="shared" si="0"/>
        <v>408.39020177083341</v>
      </c>
      <c r="G39" s="35">
        <f t="shared" si="1"/>
        <v>135.50386894756252</v>
      </c>
      <c r="I39" s="32"/>
    </row>
    <row r="40" spans="1:13" x14ac:dyDescent="0.3">
      <c r="A40" s="41">
        <v>4</v>
      </c>
      <c r="B40" s="33">
        <f t="shared" si="2"/>
        <v>150.25856633333336</v>
      </c>
      <c r="C40" s="91">
        <f t="shared" si="3"/>
        <v>178.875</v>
      </c>
      <c r="D40" s="85">
        <f t="shared" si="4"/>
        <v>59.350724999999997</v>
      </c>
      <c r="E40" s="41">
        <v>4</v>
      </c>
      <c r="F40" s="33">
        <f t="shared" si="0"/>
        <v>326.71216141666673</v>
      </c>
      <c r="G40" s="35">
        <f t="shared" si="1"/>
        <v>108.40309515805002</v>
      </c>
      <c r="I40" s="32"/>
    </row>
    <row r="41" spans="1:13" x14ac:dyDescent="0.3">
      <c r="A41" s="41">
        <v>3</v>
      </c>
      <c r="B41" s="33">
        <f t="shared" si="2"/>
        <v>112.69392475000002</v>
      </c>
      <c r="C41" s="91">
        <f t="shared" si="3"/>
        <v>134.15625</v>
      </c>
      <c r="D41" s="85">
        <f t="shared" si="4"/>
        <v>44.513043750000001</v>
      </c>
      <c r="E41" s="41">
        <v>3</v>
      </c>
      <c r="F41" s="33">
        <f t="shared" si="0"/>
        <v>245.03412106250008</v>
      </c>
      <c r="G41" s="35">
        <f t="shared" si="1"/>
        <v>81.30232136853752</v>
      </c>
      <c r="I41" s="32"/>
    </row>
    <row r="42" spans="1:13" x14ac:dyDescent="0.3">
      <c r="A42" s="41">
        <v>2</v>
      </c>
      <c r="B42" s="33">
        <f t="shared" si="2"/>
        <v>75.129283166666681</v>
      </c>
      <c r="C42" s="91">
        <f t="shared" si="3"/>
        <v>89.4375</v>
      </c>
      <c r="D42" s="85">
        <f t="shared" si="4"/>
        <v>29.675362499999999</v>
      </c>
      <c r="E42" s="41">
        <v>2</v>
      </c>
      <c r="F42" s="33">
        <f t="shared" si="0"/>
        <v>163.35608070833337</v>
      </c>
      <c r="G42" s="35">
        <f t="shared" si="1"/>
        <v>54.201547579025011</v>
      </c>
      <c r="I42" s="32"/>
    </row>
    <row r="43" spans="1:13" ht="14.5" thickBot="1" x14ac:dyDescent="0.35">
      <c r="A43" s="88">
        <v>1</v>
      </c>
      <c r="B43" s="36">
        <f t="shared" si="2"/>
        <v>37.564641583333341</v>
      </c>
      <c r="C43" s="94">
        <f t="shared" si="3"/>
        <v>44.71875</v>
      </c>
      <c r="D43" s="102">
        <f t="shared" si="4"/>
        <v>14.837681249999999</v>
      </c>
      <c r="E43" s="90">
        <v>1</v>
      </c>
      <c r="F43" s="36">
        <f t="shared" si="0"/>
        <v>81.678040354166683</v>
      </c>
      <c r="G43" s="37">
        <f t="shared" si="1"/>
        <v>27.100773789512505</v>
      </c>
      <c r="I43" s="32"/>
    </row>
    <row r="45" spans="1:13" ht="14.5" hidden="1" thickBot="1" x14ac:dyDescent="0.35"/>
    <row r="46" spans="1:13" s="54" customFormat="1" ht="56.5" hidden="1" thickBot="1" x14ac:dyDescent="0.3">
      <c r="A46" s="51"/>
      <c r="B46" s="52" t="s">
        <v>40</v>
      </c>
      <c r="C46" s="93">
        <v>11.13</v>
      </c>
      <c r="D46" s="51"/>
      <c r="E46" s="55"/>
      <c r="I46" s="56"/>
    </row>
    <row r="47" spans="1:13" hidden="1" x14ac:dyDescent="0.3"/>
    <row r="48" spans="1:13" hidden="1" x14ac:dyDescent="0.3"/>
    <row r="49" hidden="1" x14ac:dyDescent="0.3"/>
    <row r="50" hidden="1" x14ac:dyDescent="0.3"/>
  </sheetData>
  <sheetProtection algorithmName="SHA-512" hashValue="VQEfEDKgmmaVY/uKsTRqKsl4cWZD2Cv9yEgwbmZ57Wqy4qkH521iEDpuIfFlQBzeL5iJaIzWPbyBRTuWCGBIrg==" saltValue="1QAac1nNW/zuh7shkFU/lQ==" spinCount="100000" sheet="1" objects="1" scenarios="1"/>
  <protectedRanges>
    <protectedRange sqref="L8" name="RET TC_1"/>
    <protectedRange sqref="L23" name="DED_1"/>
    <protectedRange sqref="L26" name="RET TP_1"/>
    <protectedRange sqref="M36" name="CALCULO RC_1"/>
  </protectedRanges>
  <mergeCells count="41">
    <mergeCell ref="I34:K34"/>
    <mergeCell ref="I36:L37"/>
    <mergeCell ref="M36:M37"/>
    <mergeCell ref="A2:A3"/>
    <mergeCell ref="B2:B3"/>
    <mergeCell ref="C2:C3"/>
    <mergeCell ref="D2:D3"/>
    <mergeCell ref="E2:E3"/>
    <mergeCell ref="F2:F3"/>
    <mergeCell ref="G2:G3"/>
    <mergeCell ref="I29:L30"/>
    <mergeCell ref="I32:I33"/>
    <mergeCell ref="J32:J33"/>
    <mergeCell ref="K32:K33"/>
    <mergeCell ref="L32:L33"/>
    <mergeCell ref="I20:M21"/>
    <mergeCell ref="I23:K24"/>
    <mergeCell ref="L23:L24"/>
    <mergeCell ref="I26:K27"/>
    <mergeCell ref="L26:L27"/>
    <mergeCell ref="I16:I17"/>
    <mergeCell ref="J16:J17"/>
    <mergeCell ref="K16:K17"/>
    <mergeCell ref="L16:L17"/>
    <mergeCell ref="I18:J18"/>
    <mergeCell ref="I8:K9"/>
    <mergeCell ref="L8:L9"/>
    <mergeCell ref="I11:L12"/>
    <mergeCell ref="I14:I15"/>
    <mergeCell ref="J14:J15"/>
    <mergeCell ref="K14:K15"/>
    <mergeCell ref="L14:L15"/>
    <mergeCell ref="F1:G1"/>
    <mergeCell ref="B1:D1"/>
    <mergeCell ref="I2:K2"/>
    <mergeCell ref="L2:M2"/>
    <mergeCell ref="I4:I5"/>
    <mergeCell ref="J4:J5"/>
    <mergeCell ref="K4:K5"/>
    <mergeCell ref="L4:L5"/>
    <mergeCell ref="M4:M5"/>
  </mergeCells>
  <phoneticPr fontId="0" type="noConversion"/>
  <hyperlinks>
    <hyperlink ref="M36" r:id="rId1" xr:uid="{00000000-0004-0000-0100-000000000000}"/>
    <hyperlink ref="M36:M37" r:id="rId2" display="CALCULO RC" xr:uid="{00000000-0004-0000-0100-000001000000}"/>
  </hyperlinks>
  <pageMargins left="0.75" right="0.75" top="1" bottom="1" header="0" footer="0"/>
  <pageSetup paperSize="9"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"/>
  <sheetViews>
    <sheetView topLeftCell="A34" workbookViewId="0">
      <selection activeCell="B56" sqref="B56"/>
    </sheetView>
  </sheetViews>
  <sheetFormatPr baseColWidth="10" defaultColWidth="11.54296875" defaultRowHeight="14" x14ac:dyDescent="0.3"/>
  <cols>
    <col min="1" max="1" width="17.7265625" style="31" customWidth="1"/>
    <col min="2" max="2" width="23.1796875" style="31" customWidth="1"/>
    <col min="3" max="3" width="8.984375E-2" style="38" customWidth="1"/>
    <col min="4" max="4" width="17.26953125" style="51" bestFit="1" customWidth="1"/>
    <col min="5" max="5" width="17" style="32" customWidth="1"/>
    <col min="6" max="6" width="16.54296875" style="32" bestFit="1" customWidth="1"/>
    <col min="7" max="7" width="17.26953125" style="31" bestFit="1" customWidth="1"/>
    <col min="8" max="8" width="11.54296875" style="32"/>
    <col min="9" max="9" width="28.1796875" style="39" customWidth="1"/>
    <col min="10" max="10" width="17" style="32" bestFit="1" customWidth="1"/>
    <col min="11" max="11" width="19.81640625" style="32" bestFit="1" customWidth="1"/>
    <col min="12" max="12" width="16.1796875" style="32" bestFit="1" customWidth="1"/>
    <col min="13" max="13" width="16.54296875" style="32" customWidth="1"/>
    <col min="14" max="16384" width="11.54296875" style="32"/>
  </cols>
  <sheetData>
    <row r="1" spans="1:13" ht="23.5" customHeight="1" x14ac:dyDescent="0.45">
      <c r="A1" s="83"/>
      <c r="B1" s="123" t="s">
        <v>29</v>
      </c>
      <c r="C1" s="123"/>
      <c r="D1" s="124"/>
      <c r="E1" s="84"/>
      <c r="F1" s="123" t="s">
        <v>30</v>
      </c>
      <c r="G1" s="123"/>
      <c r="I1" s="125" t="s">
        <v>47</v>
      </c>
      <c r="J1" s="125"/>
      <c r="K1" s="125"/>
      <c r="L1" s="125" t="s">
        <v>48</v>
      </c>
      <c r="M1" s="125"/>
    </row>
    <row r="2" spans="1:13" ht="41.5" customHeight="1" x14ac:dyDescent="0.3">
      <c r="A2" s="171" t="s">
        <v>0</v>
      </c>
      <c r="B2" s="153" t="s">
        <v>72</v>
      </c>
      <c r="C2" s="176" t="s">
        <v>41</v>
      </c>
      <c r="D2" s="155" t="s">
        <v>71</v>
      </c>
      <c r="E2" s="171" t="s">
        <v>0</v>
      </c>
      <c r="F2" s="153" t="s">
        <v>72</v>
      </c>
      <c r="G2" s="155" t="s">
        <v>76</v>
      </c>
      <c r="I2" s="60" t="s">
        <v>49</v>
      </c>
      <c r="J2" s="60" t="s">
        <v>50</v>
      </c>
      <c r="K2" s="60" t="s">
        <v>51</v>
      </c>
      <c r="L2" s="61" t="s">
        <v>52</v>
      </c>
      <c r="M2" s="60" t="s">
        <v>53</v>
      </c>
    </row>
    <row r="3" spans="1:13" s="40" customFormat="1" ht="15" customHeight="1" thickBot="1" x14ac:dyDescent="0.35">
      <c r="A3" s="172"/>
      <c r="B3" s="154"/>
      <c r="C3" s="177"/>
      <c r="D3" s="156"/>
      <c r="E3" s="172"/>
      <c r="F3" s="154"/>
      <c r="G3" s="156"/>
      <c r="I3" s="126">
        <v>2</v>
      </c>
      <c r="J3" s="127">
        <v>1459.2</v>
      </c>
      <c r="K3" s="127">
        <v>4495.5</v>
      </c>
      <c r="L3" s="128">
        <v>1260</v>
      </c>
      <c r="M3" s="128">
        <v>4495.5</v>
      </c>
    </row>
    <row r="4" spans="1:13" x14ac:dyDescent="0.3">
      <c r="A4" s="41">
        <v>40</v>
      </c>
      <c r="B4" s="33">
        <f>PARAMETROS!B4</f>
        <v>1196.0013816666667</v>
      </c>
      <c r="C4" s="34"/>
      <c r="D4" s="98"/>
      <c r="E4" s="41">
        <v>40</v>
      </c>
      <c r="F4" s="33">
        <f>PARAMETROS!C4</f>
        <v>2672.5054803883336</v>
      </c>
      <c r="G4" s="100">
        <f>IF(F4&gt;$K$3,$K$3*$K$17%,F4*$K$17%)</f>
        <v>884.5993140085385</v>
      </c>
      <c r="I4" s="126"/>
      <c r="J4" s="127"/>
      <c r="K4" s="127"/>
      <c r="L4" s="128"/>
      <c r="M4" s="128"/>
    </row>
    <row r="5" spans="1:13" x14ac:dyDescent="0.3">
      <c r="A5" s="41">
        <v>39</v>
      </c>
      <c r="B5" s="33">
        <f>PRODUCT(B$4,A5)/A$4</f>
        <v>1166.1013471250001</v>
      </c>
      <c r="C5" s="34">
        <f>(A5/$A$4*7.5*5)/7*30*$C$46</f>
        <v>1377.3616071428569</v>
      </c>
      <c r="D5" s="98">
        <f>IF(B5&lt;C5,C5*$K$17%,B5*$K$17%)</f>
        <v>455.90669196428564</v>
      </c>
      <c r="E5" s="41">
        <v>39</v>
      </c>
      <c r="F5" s="33">
        <f>PRODUCT(F$4,E5)/E$4</f>
        <v>2605.6928433786252</v>
      </c>
      <c r="G5" s="100">
        <f t="shared" ref="G5:G43" si="0">IF(F5&gt;$K$3,$K$3*$K$17%,F5*$K$17%)</f>
        <v>862.48433115832495</v>
      </c>
      <c r="I5" s="62"/>
      <c r="J5" s="63"/>
      <c r="K5" s="63"/>
      <c r="L5" s="64"/>
      <c r="M5" s="63"/>
    </row>
    <row r="6" spans="1:13" ht="14.5" thickBot="1" x14ac:dyDescent="0.35">
      <c r="A6" s="41">
        <v>38</v>
      </c>
      <c r="B6" s="33">
        <f t="shared" ref="B6:B43" si="1">PRODUCT(B$4,A6)/A$4</f>
        <v>1136.2013125833332</v>
      </c>
      <c r="C6" s="34">
        <f t="shared" ref="C6:C43" si="2">(A6/$A$4*7.5*5)/7*30*$C$46</f>
        <v>1342.0446428571429</v>
      </c>
      <c r="D6" s="98">
        <f t="shared" ref="D6:D43" si="3">IF(B6&lt;C6,C6*$K$17%,B6*$K$17%)</f>
        <v>444.21677678571433</v>
      </c>
      <c r="E6" s="41">
        <v>38</v>
      </c>
      <c r="F6" s="33">
        <f t="shared" ref="F6:F43" si="4">PRODUCT(F$4,E6)/E$4</f>
        <v>2538.8802063689172</v>
      </c>
      <c r="G6" s="100">
        <f t="shared" si="0"/>
        <v>840.36934830811163</v>
      </c>
      <c r="I6" s="62"/>
      <c r="J6" s="65"/>
      <c r="K6" s="63"/>
      <c r="L6" s="64"/>
      <c r="M6" s="63"/>
    </row>
    <row r="7" spans="1:13" x14ac:dyDescent="0.3">
      <c r="A7" s="41">
        <v>37</v>
      </c>
      <c r="B7" s="33">
        <f t="shared" si="1"/>
        <v>1106.3012780416668</v>
      </c>
      <c r="C7" s="34">
        <f t="shared" si="2"/>
        <v>1306.7276785714287</v>
      </c>
      <c r="D7" s="98">
        <f t="shared" si="3"/>
        <v>432.52686160714291</v>
      </c>
      <c r="E7" s="41">
        <v>37</v>
      </c>
      <c r="F7" s="33">
        <f t="shared" si="4"/>
        <v>2472.0675693592084</v>
      </c>
      <c r="G7" s="100">
        <f t="shared" si="0"/>
        <v>818.25436545789807</v>
      </c>
      <c r="I7" s="133" t="s">
        <v>54</v>
      </c>
      <c r="J7" s="133"/>
      <c r="K7" s="134"/>
      <c r="L7" s="135">
        <v>0</v>
      </c>
      <c r="M7" s="63"/>
    </row>
    <row r="8" spans="1:13" ht="14.5" thickBot="1" x14ac:dyDescent="0.35">
      <c r="A8" s="41">
        <v>36</v>
      </c>
      <c r="B8" s="33">
        <f t="shared" si="1"/>
        <v>1076.4012435</v>
      </c>
      <c r="C8" s="34">
        <f t="shared" si="2"/>
        <v>1271.4107142857142</v>
      </c>
      <c r="D8" s="98">
        <f t="shared" si="3"/>
        <v>420.83694642857142</v>
      </c>
      <c r="E8" s="41">
        <v>36</v>
      </c>
      <c r="F8" s="33">
        <f t="shared" si="4"/>
        <v>2405.2549323495</v>
      </c>
      <c r="G8" s="100">
        <f t="shared" si="0"/>
        <v>796.13938260768452</v>
      </c>
      <c r="I8" s="133"/>
      <c r="J8" s="133"/>
      <c r="K8" s="134"/>
      <c r="L8" s="136"/>
      <c r="M8" s="63"/>
    </row>
    <row r="9" spans="1:13" ht="14.5" thickBot="1" x14ac:dyDescent="0.35">
      <c r="A9" s="41">
        <v>35</v>
      </c>
      <c r="B9" s="33">
        <f t="shared" si="1"/>
        <v>1046.5012089583333</v>
      </c>
      <c r="C9" s="34">
        <f t="shared" si="2"/>
        <v>1236.0937499999998</v>
      </c>
      <c r="D9" s="98">
        <f t="shared" si="3"/>
        <v>409.14703124999994</v>
      </c>
      <c r="E9" s="41">
        <v>35</v>
      </c>
      <c r="F9" s="33">
        <f t="shared" si="4"/>
        <v>2338.4422953397921</v>
      </c>
      <c r="G9" s="100">
        <f t="shared" si="0"/>
        <v>774.0243997574712</v>
      </c>
      <c r="I9" s="66"/>
      <c r="J9" s="67"/>
      <c r="K9" s="68"/>
      <c r="L9" s="69"/>
      <c r="M9" s="63"/>
    </row>
    <row r="10" spans="1:13" x14ac:dyDescent="0.3">
      <c r="A10" s="41">
        <v>34</v>
      </c>
      <c r="B10" s="33">
        <f t="shared" si="1"/>
        <v>1016.6011744166666</v>
      </c>
      <c r="C10" s="34">
        <f t="shared" si="2"/>
        <v>1200.7767857142856</v>
      </c>
      <c r="D10" s="98">
        <f t="shared" si="3"/>
        <v>397.45711607142852</v>
      </c>
      <c r="E10" s="41">
        <v>34</v>
      </c>
      <c r="F10" s="33">
        <f t="shared" si="4"/>
        <v>2271.6296583300837</v>
      </c>
      <c r="G10" s="100">
        <f t="shared" si="0"/>
        <v>751.90941690725776</v>
      </c>
      <c r="I10" s="137" t="s">
        <v>55</v>
      </c>
      <c r="J10" s="138"/>
      <c r="K10" s="138"/>
      <c r="L10" s="139"/>
      <c r="M10" s="63"/>
    </row>
    <row r="11" spans="1:13" ht="14.5" thickBot="1" x14ac:dyDescent="0.35">
      <c r="A11" s="41">
        <v>33</v>
      </c>
      <c r="B11" s="33">
        <f t="shared" si="1"/>
        <v>986.70113987500008</v>
      </c>
      <c r="C11" s="34">
        <f t="shared" si="2"/>
        <v>1165.4598214285711</v>
      </c>
      <c r="D11" s="98">
        <f t="shared" si="3"/>
        <v>385.76720089285703</v>
      </c>
      <c r="E11" s="41">
        <v>33</v>
      </c>
      <c r="F11" s="33">
        <f t="shared" si="4"/>
        <v>2204.8170213203753</v>
      </c>
      <c r="G11" s="100">
        <f t="shared" si="0"/>
        <v>729.79443405704421</v>
      </c>
      <c r="I11" s="140"/>
      <c r="J11" s="141"/>
      <c r="K11" s="141"/>
      <c r="L11" s="142"/>
      <c r="M11" s="63"/>
    </row>
    <row r="12" spans="1:13" ht="14.5" thickBot="1" x14ac:dyDescent="0.35">
      <c r="A12" s="41">
        <v>32</v>
      </c>
      <c r="B12" s="33">
        <f t="shared" si="1"/>
        <v>956.80110533333334</v>
      </c>
      <c r="C12" s="34">
        <f t="shared" si="2"/>
        <v>1130.1428571428569</v>
      </c>
      <c r="D12" s="98">
        <f t="shared" si="3"/>
        <v>374.07728571428567</v>
      </c>
      <c r="E12" s="41">
        <v>32</v>
      </c>
      <c r="F12" s="33">
        <f t="shared" si="4"/>
        <v>2138.0043843106669</v>
      </c>
      <c r="G12" s="100">
        <f t="shared" si="0"/>
        <v>707.67945120683078</v>
      </c>
      <c r="I12" s="70"/>
      <c r="J12" s="71" t="s">
        <v>56</v>
      </c>
      <c r="K12" s="72" t="s">
        <v>57</v>
      </c>
      <c r="L12" s="73" t="s">
        <v>58</v>
      </c>
      <c r="M12" s="63"/>
    </row>
    <row r="13" spans="1:13" x14ac:dyDescent="0.3">
      <c r="A13" s="41">
        <v>31</v>
      </c>
      <c r="B13" s="33">
        <f t="shared" si="1"/>
        <v>926.9010707916666</v>
      </c>
      <c r="C13" s="34">
        <f t="shared" si="2"/>
        <v>1094.8258928571427</v>
      </c>
      <c r="D13" s="98">
        <f t="shared" si="3"/>
        <v>362.38737053571424</v>
      </c>
      <c r="E13" s="41">
        <v>31</v>
      </c>
      <c r="F13" s="33">
        <f t="shared" si="4"/>
        <v>2071.1917473009585</v>
      </c>
      <c r="G13" s="100">
        <f t="shared" si="0"/>
        <v>685.56446835661734</v>
      </c>
      <c r="I13" s="143" t="s">
        <v>59</v>
      </c>
      <c r="J13" s="145">
        <f>IF(L7&gt;=J3,L7,J3)</f>
        <v>1459.2</v>
      </c>
      <c r="K13" s="147">
        <v>24.1</v>
      </c>
      <c r="L13" s="149">
        <f>J13*K13%</f>
        <v>351.66720000000004</v>
      </c>
      <c r="M13" s="63"/>
    </row>
    <row r="14" spans="1:13" ht="14.5" thickBot="1" x14ac:dyDescent="0.35">
      <c r="A14" s="41">
        <v>30</v>
      </c>
      <c r="B14" s="33">
        <f t="shared" si="1"/>
        <v>897.00103625000008</v>
      </c>
      <c r="C14" s="34">
        <f t="shared" si="2"/>
        <v>1059.5089285714284</v>
      </c>
      <c r="D14" s="98">
        <f t="shared" si="3"/>
        <v>350.69745535714281</v>
      </c>
      <c r="E14" s="41">
        <v>30</v>
      </c>
      <c r="F14" s="33">
        <f t="shared" si="4"/>
        <v>2004.3791102912503</v>
      </c>
      <c r="G14" s="100">
        <f t="shared" si="0"/>
        <v>663.4494855064039</v>
      </c>
      <c r="I14" s="144"/>
      <c r="J14" s="146"/>
      <c r="K14" s="148"/>
      <c r="L14" s="150"/>
      <c r="M14" s="63"/>
    </row>
    <row r="15" spans="1:13" x14ac:dyDescent="0.3">
      <c r="A15" s="41">
        <v>29</v>
      </c>
      <c r="B15" s="33">
        <f t="shared" si="1"/>
        <v>867.10100170833334</v>
      </c>
      <c r="C15" s="34">
        <f t="shared" si="2"/>
        <v>1024.1919642857142</v>
      </c>
      <c r="D15" s="98">
        <f t="shared" si="3"/>
        <v>339.00754017857145</v>
      </c>
      <c r="E15" s="41">
        <v>29</v>
      </c>
      <c r="F15" s="33">
        <f t="shared" si="4"/>
        <v>1937.5664732815417</v>
      </c>
      <c r="G15" s="100">
        <f t="shared" si="0"/>
        <v>641.33450265619035</v>
      </c>
      <c r="I15" s="169" t="s">
        <v>60</v>
      </c>
      <c r="J15" s="145">
        <f>IF(L7&gt;=L3,L7,L3)</f>
        <v>1260</v>
      </c>
      <c r="K15" s="147">
        <v>9</v>
      </c>
      <c r="L15" s="129">
        <f>J15*K15%</f>
        <v>113.39999999999999</v>
      </c>
      <c r="M15" s="63"/>
    </row>
    <row r="16" spans="1:13" ht="14.5" thickBot="1" x14ac:dyDescent="0.35">
      <c r="A16" s="41">
        <v>28</v>
      </c>
      <c r="B16" s="33">
        <f t="shared" si="1"/>
        <v>837.20096716666671</v>
      </c>
      <c r="C16" s="34">
        <f t="shared" si="2"/>
        <v>988.87499999999989</v>
      </c>
      <c r="D16" s="98">
        <f t="shared" si="3"/>
        <v>327.31762499999996</v>
      </c>
      <c r="E16" s="41">
        <v>28</v>
      </c>
      <c r="F16" s="33">
        <f t="shared" si="4"/>
        <v>1870.7538362718337</v>
      </c>
      <c r="G16" s="100">
        <f t="shared" si="0"/>
        <v>619.21951980597703</v>
      </c>
      <c r="I16" s="170"/>
      <c r="J16" s="146"/>
      <c r="K16" s="148">
        <v>0.2</v>
      </c>
      <c r="L16" s="130"/>
      <c r="M16" s="63"/>
    </row>
    <row r="17" spans="1:13" ht="14.5" thickBot="1" x14ac:dyDescent="0.35">
      <c r="A17" s="41">
        <v>27</v>
      </c>
      <c r="B17" s="33">
        <f t="shared" si="1"/>
        <v>807.30093262500009</v>
      </c>
      <c r="C17" s="34">
        <f t="shared" si="2"/>
        <v>953.55803571428555</v>
      </c>
      <c r="D17" s="98">
        <f t="shared" si="3"/>
        <v>315.62770982142854</v>
      </c>
      <c r="E17" s="41">
        <v>27</v>
      </c>
      <c r="F17" s="33">
        <f t="shared" si="4"/>
        <v>1803.9411992621251</v>
      </c>
      <c r="G17" s="100">
        <f t="shared" si="0"/>
        <v>597.10453695576348</v>
      </c>
      <c r="I17" s="131" t="s">
        <v>61</v>
      </c>
      <c r="J17" s="132"/>
      <c r="K17" s="74">
        <f>(K13+K15)</f>
        <v>33.1</v>
      </c>
      <c r="L17" s="75">
        <f>SUM(L13:L16)</f>
        <v>465.06720000000001</v>
      </c>
      <c r="M17" s="63"/>
    </row>
    <row r="18" spans="1:13" x14ac:dyDescent="0.3">
      <c r="A18" s="41">
        <v>26</v>
      </c>
      <c r="B18" s="33">
        <f t="shared" si="1"/>
        <v>777.40089808333335</v>
      </c>
      <c r="C18" s="34">
        <f t="shared" si="2"/>
        <v>918.24107142857144</v>
      </c>
      <c r="D18" s="98">
        <f t="shared" si="3"/>
        <v>303.93779464285717</v>
      </c>
      <c r="E18" s="41">
        <v>26</v>
      </c>
      <c r="F18" s="33">
        <f t="shared" si="4"/>
        <v>1737.1285622524167</v>
      </c>
      <c r="G18" s="100">
        <f t="shared" si="0"/>
        <v>574.98955410554993</v>
      </c>
      <c r="I18" s="76"/>
      <c r="J18" s="77"/>
      <c r="K18" s="78"/>
      <c r="L18" s="79"/>
      <c r="M18" s="63"/>
    </row>
    <row r="19" spans="1:13" x14ac:dyDescent="0.3">
      <c r="A19" s="41">
        <v>25</v>
      </c>
      <c r="B19" s="33">
        <f t="shared" si="1"/>
        <v>747.50086354166672</v>
      </c>
      <c r="C19" s="34">
        <f t="shared" si="2"/>
        <v>882.924107142857</v>
      </c>
      <c r="D19" s="98">
        <f t="shared" si="3"/>
        <v>292.24787946428569</v>
      </c>
      <c r="E19" s="41">
        <v>25</v>
      </c>
      <c r="F19" s="33">
        <f t="shared" si="4"/>
        <v>1670.3159252427085</v>
      </c>
      <c r="G19" s="100">
        <f t="shared" si="0"/>
        <v>552.8745712553366</v>
      </c>
      <c r="I19" s="166" t="s">
        <v>62</v>
      </c>
      <c r="J19" s="166"/>
      <c r="K19" s="166"/>
      <c r="L19" s="166"/>
      <c r="M19" s="166"/>
    </row>
    <row r="20" spans="1:13" x14ac:dyDescent="0.3">
      <c r="A20" s="41">
        <v>24</v>
      </c>
      <c r="B20" s="33">
        <f t="shared" si="1"/>
        <v>717.60082899999998</v>
      </c>
      <c r="C20" s="34">
        <f t="shared" si="2"/>
        <v>847.60714285714278</v>
      </c>
      <c r="D20" s="98">
        <f t="shared" si="3"/>
        <v>280.55796428571426</v>
      </c>
      <c r="E20" s="41">
        <v>24</v>
      </c>
      <c r="F20" s="33">
        <f t="shared" si="4"/>
        <v>1603.5032882330001</v>
      </c>
      <c r="G20" s="100">
        <f t="shared" si="0"/>
        <v>530.75958840512305</v>
      </c>
      <c r="I20" s="166"/>
      <c r="J20" s="166"/>
      <c r="K20" s="166"/>
      <c r="L20" s="166"/>
      <c r="M20" s="166"/>
    </row>
    <row r="21" spans="1:13" ht="14.5" thickBot="1" x14ac:dyDescent="0.35">
      <c r="A21" s="41">
        <v>23</v>
      </c>
      <c r="B21" s="33">
        <f t="shared" si="1"/>
        <v>687.70079445833335</v>
      </c>
      <c r="C21" s="34">
        <f t="shared" si="2"/>
        <v>812.29017857142844</v>
      </c>
      <c r="D21" s="98">
        <f t="shared" si="3"/>
        <v>268.86804910714284</v>
      </c>
      <c r="E21" s="41">
        <v>23</v>
      </c>
      <c r="F21" s="33">
        <f t="shared" si="4"/>
        <v>1536.6906512232918</v>
      </c>
      <c r="G21" s="100">
        <f t="shared" si="0"/>
        <v>508.64460555490962</v>
      </c>
      <c r="I21" s="62"/>
      <c r="J21" s="65"/>
      <c r="K21" s="63"/>
      <c r="L21" s="64"/>
      <c r="M21" s="63"/>
    </row>
    <row r="22" spans="1:13" x14ac:dyDescent="0.3">
      <c r="A22" s="41">
        <v>22</v>
      </c>
      <c r="B22" s="33">
        <f t="shared" si="1"/>
        <v>657.80075991666672</v>
      </c>
      <c r="C22" s="34">
        <f t="shared" si="2"/>
        <v>776.97321428571433</v>
      </c>
      <c r="D22" s="98">
        <f t="shared" si="3"/>
        <v>257.17813392857147</v>
      </c>
      <c r="E22" s="41">
        <v>22</v>
      </c>
      <c r="F22" s="33">
        <f t="shared" si="4"/>
        <v>1469.8780142135834</v>
      </c>
      <c r="G22" s="100">
        <f t="shared" si="0"/>
        <v>486.52962270469612</v>
      </c>
      <c r="I22" s="133" t="s">
        <v>63</v>
      </c>
      <c r="J22" s="133"/>
      <c r="K22" s="134"/>
      <c r="L22" s="167">
        <v>0</v>
      </c>
      <c r="M22" s="63"/>
    </row>
    <row r="23" spans="1:13" ht="14.5" thickBot="1" x14ac:dyDescent="0.35">
      <c r="A23" s="41">
        <v>21</v>
      </c>
      <c r="B23" s="33">
        <f t="shared" si="1"/>
        <v>627.90072537499998</v>
      </c>
      <c r="C23" s="34">
        <f t="shared" si="2"/>
        <v>741.65624999999989</v>
      </c>
      <c r="D23" s="98">
        <f t="shared" si="3"/>
        <v>245.48821874999999</v>
      </c>
      <c r="E23" s="41">
        <v>21</v>
      </c>
      <c r="F23" s="33">
        <f t="shared" si="4"/>
        <v>1403.0653772038752</v>
      </c>
      <c r="G23" s="100">
        <f t="shared" si="0"/>
        <v>464.41463985448269</v>
      </c>
      <c r="I23" s="133"/>
      <c r="J23" s="133"/>
      <c r="K23" s="134"/>
      <c r="L23" s="168"/>
      <c r="M23" s="63"/>
    </row>
    <row r="24" spans="1:13" ht="14.5" thickBot="1" x14ac:dyDescent="0.35">
      <c r="A24" s="41">
        <v>20</v>
      </c>
      <c r="B24" s="33">
        <f t="shared" si="1"/>
        <v>598.00069083333335</v>
      </c>
      <c r="C24" s="34">
        <f t="shared" si="2"/>
        <v>706.33928571428555</v>
      </c>
      <c r="D24" s="98">
        <f t="shared" si="3"/>
        <v>233.79830357142853</v>
      </c>
      <c r="E24" s="41">
        <v>20</v>
      </c>
      <c r="F24" s="33">
        <f t="shared" si="4"/>
        <v>1336.2527401941668</v>
      </c>
      <c r="G24" s="100">
        <f t="shared" si="0"/>
        <v>442.29965700426925</v>
      </c>
      <c r="I24" s="62"/>
      <c r="J24" s="65"/>
      <c r="K24" s="63"/>
      <c r="L24" s="64"/>
      <c r="M24" s="63"/>
    </row>
    <row r="25" spans="1:13" x14ac:dyDescent="0.3">
      <c r="A25" s="41">
        <v>19</v>
      </c>
      <c r="B25" s="33">
        <f t="shared" si="1"/>
        <v>568.10065629166661</v>
      </c>
      <c r="C25" s="34">
        <f t="shared" si="2"/>
        <v>671.02232142857144</v>
      </c>
      <c r="D25" s="98">
        <f t="shared" si="3"/>
        <v>222.10838839285717</v>
      </c>
      <c r="E25" s="41">
        <v>19</v>
      </c>
      <c r="F25" s="33">
        <f t="shared" si="4"/>
        <v>1269.4401031844586</v>
      </c>
      <c r="G25" s="100">
        <f t="shared" si="0"/>
        <v>420.18467415405581</v>
      </c>
      <c r="I25" s="133" t="s">
        <v>64</v>
      </c>
      <c r="J25" s="133"/>
      <c r="K25" s="134"/>
      <c r="L25" s="135">
        <v>0</v>
      </c>
      <c r="M25" s="63"/>
    </row>
    <row r="26" spans="1:13" ht="14.5" thickBot="1" x14ac:dyDescent="0.35">
      <c r="A26" s="41">
        <v>18</v>
      </c>
      <c r="B26" s="33">
        <f t="shared" si="1"/>
        <v>538.20062174999998</v>
      </c>
      <c r="C26" s="34">
        <f t="shared" si="2"/>
        <v>635.70535714285711</v>
      </c>
      <c r="D26" s="98">
        <f t="shared" si="3"/>
        <v>210.41847321428571</v>
      </c>
      <c r="E26" s="41">
        <v>18</v>
      </c>
      <c r="F26" s="33">
        <f t="shared" si="4"/>
        <v>1202.62746617475</v>
      </c>
      <c r="G26" s="100">
        <f t="shared" si="0"/>
        <v>398.06969130384226</v>
      </c>
      <c r="I26" s="133"/>
      <c r="J26" s="133"/>
      <c r="K26" s="134"/>
      <c r="L26" s="136"/>
      <c r="M26" s="63"/>
    </row>
    <row r="27" spans="1:13" ht="14.5" thickBot="1" x14ac:dyDescent="0.35">
      <c r="A27" s="41">
        <v>17</v>
      </c>
      <c r="B27" s="33">
        <f t="shared" si="1"/>
        <v>508.3005872083333</v>
      </c>
      <c r="C27" s="34">
        <f t="shared" si="2"/>
        <v>600.38839285714278</v>
      </c>
      <c r="D27" s="98">
        <f t="shared" si="3"/>
        <v>198.72855803571426</v>
      </c>
      <c r="E27" s="41">
        <v>17</v>
      </c>
      <c r="F27" s="33">
        <f t="shared" si="4"/>
        <v>1135.8148291650418</v>
      </c>
      <c r="G27" s="100">
        <f t="shared" si="0"/>
        <v>375.95470845362888</v>
      </c>
      <c r="I27" s="62"/>
      <c r="J27" s="65"/>
      <c r="K27" s="63"/>
      <c r="L27" s="64"/>
      <c r="M27" s="63"/>
    </row>
    <row r="28" spans="1:13" x14ac:dyDescent="0.3">
      <c r="A28" s="41">
        <v>16</v>
      </c>
      <c r="B28" s="33">
        <f t="shared" si="1"/>
        <v>478.40055266666667</v>
      </c>
      <c r="C28" s="34">
        <f t="shared" si="2"/>
        <v>565.07142857142844</v>
      </c>
      <c r="D28" s="98">
        <f t="shared" si="3"/>
        <v>187.03864285714283</v>
      </c>
      <c r="E28" s="41">
        <v>16</v>
      </c>
      <c r="F28" s="33">
        <f t="shared" si="4"/>
        <v>1069.0021921553334</v>
      </c>
      <c r="G28" s="100">
        <f t="shared" si="0"/>
        <v>353.83972560341539</v>
      </c>
      <c r="I28" s="137" t="s">
        <v>65</v>
      </c>
      <c r="J28" s="138"/>
      <c r="K28" s="138"/>
      <c r="L28" s="139"/>
      <c r="M28" s="63"/>
    </row>
    <row r="29" spans="1:13" ht="14.5" thickBot="1" x14ac:dyDescent="0.35">
      <c r="A29" s="41">
        <v>15</v>
      </c>
      <c r="B29" s="33">
        <f t="shared" si="1"/>
        <v>448.50051812500004</v>
      </c>
      <c r="C29" s="34">
        <f t="shared" si="2"/>
        <v>529.75446428571422</v>
      </c>
      <c r="D29" s="98">
        <f t="shared" si="3"/>
        <v>175.34872767857141</v>
      </c>
      <c r="E29" s="41">
        <v>15</v>
      </c>
      <c r="F29" s="33">
        <f t="shared" si="4"/>
        <v>1002.1895551456251</v>
      </c>
      <c r="G29" s="100">
        <f t="shared" si="0"/>
        <v>331.72474275320195</v>
      </c>
      <c r="I29" s="140"/>
      <c r="J29" s="141"/>
      <c r="K29" s="141"/>
      <c r="L29" s="142"/>
      <c r="M29" s="63"/>
    </row>
    <row r="30" spans="1:13" ht="14.5" thickBot="1" x14ac:dyDescent="0.35">
      <c r="A30" s="41">
        <v>14</v>
      </c>
      <c r="B30" s="33">
        <f t="shared" si="1"/>
        <v>418.60048358333336</v>
      </c>
      <c r="C30" s="34">
        <f t="shared" si="2"/>
        <v>494.43749999999994</v>
      </c>
      <c r="D30" s="98">
        <f t="shared" si="3"/>
        <v>163.65881249999998</v>
      </c>
      <c r="E30" s="41">
        <v>14</v>
      </c>
      <c r="F30" s="33">
        <f t="shared" si="4"/>
        <v>935.37691813591687</v>
      </c>
      <c r="G30" s="100">
        <f t="shared" si="0"/>
        <v>309.60975990298851</v>
      </c>
      <c r="I30" s="80" t="s">
        <v>66</v>
      </c>
      <c r="J30" s="81" t="s">
        <v>56</v>
      </c>
      <c r="K30" s="72" t="s">
        <v>67</v>
      </c>
      <c r="L30" s="73" t="s">
        <v>58</v>
      </c>
      <c r="M30" s="63"/>
    </row>
    <row r="31" spans="1:13" x14ac:dyDescent="0.3">
      <c r="A31" s="41">
        <v>13</v>
      </c>
      <c r="B31" s="33">
        <f t="shared" si="1"/>
        <v>388.70044904166667</v>
      </c>
      <c r="C31" s="34">
        <f t="shared" si="2"/>
        <v>459.12053571428572</v>
      </c>
      <c r="D31" s="98">
        <f t="shared" si="3"/>
        <v>151.96889732142859</v>
      </c>
      <c r="E31" s="41">
        <v>13</v>
      </c>
      <c r="F31" s="33">
        <f t="shared" si="4"/>
        <v>868.56428112620836</v>
      </c>
      <c r="G31" s="100">
        <f t="shared" si="0"/>
        <v>287.49477705277496</v>
      </c>
      <c r="I31" s="159">
        <f>(L22/40*7.5*5)/7*30*$C$46</f>
        <v>0</v>
      </c>
      <c r="J31" s="161">
        <f>IF(L25&lt;I31,I31,L25)</f>
        <v>0</v>
      </c>
      <c r="K31" s="163">
        <v>33.1</v>
      </c>
      <c r="L31" s="129">
        <f>J31*K31%</f>
        <v>0</v>
      </c>
      <c r="M31" s="63"/>
    </row>
    <row r="32" spans="1:13" ht="14.5" thickBot="1" x14ac:dyDescent="0.35">
      <c r="A32" s="41">
        <v>12</v>
      </c>
      <c r="B32" s="33">
        <f t="shared" si="1"/>
        <v>358.80041449999999</v>
      </c>
      <c r="C32" s="34">
        <f t="shared" si="2"/>
        <v>423.80357142857139</v>
      </c>
      <c r="D32" s="98">
        <f t="shared" si="3"/>
        <v>140.27898214285713</v>
      </c>
      <c r="E32" s="41">
        <v>12</v>
      </c>
      <c r="F32" s="33">
        <f t="shared" si="4"/>
        <v>801.75164411650007</v>
      </c>
      <c r="G32" s="100">
        <f t="shared" si="0"/>
        <v>265.37979420256153</v>
      </c>
      <c r="I32" s="160"/>
      <c r="J32" s="162"/>
      <c r="K32" s="164"/>
      <c r="L32" s="165"/>
      <c r="M32" s="63"/>
    </row>
    <row r="33" spans="1:13" ht="14.5" thickBot="1" x14ac:dyDescent="0.35">
      <c r="A33" s="41">
        <v>11</v>
      </c>
      <c r="B33" s="33">
        <f t="shared" si="1"/>
        <v>328.90037995833336</v>
      </c>
      <c r="C33" s="34">
        <f t="shared" si="2"/>
        <v>388.48660714285717</v>
      </c>
      <c r="D33" s="98">
        <f t="shared" si="3"/>
        <v>128.58906696428573</v>
      </c>
      <c r="E33" s="41">
        <v>11</v>
      </c>
      <c r="F33" s="33">
        <f t="shared" si="4"/>
        <v>734.93900710679168</v>
      </c>
      <c r="G33" s="100">
        <f t="shared" si="0"/>
        <v>243.26481135234806</v>
      </c>
      <c r="I33" s="173" t="s">
        <v>68</v>
      </c>
      <c r="J33" s="174"/>
      <c r="K33" s="175"/>
      <c r="L33" s="75">
        <f>SUM(L31)</f>
        <v>0</v>
      </c>
      <c r="M33" s="63"/>
    </row>
    <row r="34" spans="1:13" x14ac:dyDescent="0.3">
      <c r="A34" s="41">
        <v>10</v>
      </c>
      <c r="B34" s="33">
        <f t="shared" si="1"/>
        <v>299.00034541666668</v>
      </c>
      <c r="C34" s="34">
        <f t="shared" si="2"/>
        <v>353.16964285714278</v>
      </c>
      <c r="D34" s="98">
        <f t="shared" si="3"/>
        <v>116.89915178571427</v>
      </c>
      <c r="E34" s="41">
        <v>10</v>
      </c>
      <c r="F34" s="33">
        <f t="shared" si="4"/>
        <v>668.1263700970834</v>
      </c>
      <c r="G34" s="100">
        <f t="shared" si="0"/>
        <v>221.14982850213462</v>
      </c>
      <c r="I34" s="62"/>
      <c r="J34" s="65"/>
      <c r="K34" s="63"/>
      <c r="L34" s="64"/>
      <c r="M34" s="63"/>
    </row>
    <row r="35" spans="1:13" x14ac:dyDescent="0.3">
      <c r="A35" s="41">
        <v>9</v>
      </c>
      <c r="B35" s="33">
        <f t="shared" si="1"/>
        <v>269.10031087499999</v>
      </c>
      <c r="C35" s="34">
        <f t="shared" si="2"/>
        <v>317.85267857142856</v>
      </c>
      <c r="D35" s="98">
        <f t="shared" si="3"/>
        <v>105.20923660714286</v>
      </c>
      <c r="E35" s="41">
        <v>9</v>
      </c>
      <c r="F35" s="33">
        <f t="shared" si="4"/>
        <v>601.313733087375</v>
      </c>
      <c r="G35" s="100">
        <f t="shared" si="0"/>
        <v>199.03484565192113</v>
      </c>
      <c r="I35" s="151" t="s">
        <v>69</v>
      </c>
      <c r="J35" s="151"/>
      <c r="K35" s="151"/>
      <c r="L35" s="151"/>
      <c r="M35" s="152" t="s">
        <v>70</v>
      </c>
    </row>
    <row r="36" spans="1:13" x14ac:dyDescent="0.3">
      <c r="A36" s="41">
        <v>8</v>
      </c>
      <c r="B36" s="33">
        <f t="shared" si="1"/>
        <v>239.20027633333333</v>
      </c>
      <c r="C36" s="34">
        <f t="shared" si="2"/>
        <v>282.53571428571422</v>
      </c>
      <c r="D36" s="98">
        <f t="shared" si="3"/>
        <v>93.519321428571416</v>
      </c>
      <c r="E36" s="41">
        <v>8</v>
      </c>
      <c r="F36" s="33">
        <f t="shared" si="4"/>
        <v>534.50109607766672</v>
      </c>
      <c r="G36" s="100">
        <f t="shared" si="0"/>
        <v>176.91986280170769</v>
      </c>
      <c r="I36" s="151"/>
      <c r="J36" s="151"/>
      <c r="K36" s="151"/>
      <c r="L36" s="151"/>
      <c r="M36" s="152"/>
    </row>
    <row r="37" spans="1:13" x14ac:dyDescent="0.3">
      <c r="A37" s="41">
        <v>7</v>
      </c>
      <c r="B37" s="33">
        <f t="shared" si="1"/>
        <v>209.30024179166668</v>
      </c>
      <c r="C37" s="34">
        <f t="shared" si="2"/>
        <v>247.21874999999997</v>
      </c>
      <c r="D37" s="98">
        <f t="shared" si="3"/>
        <v>81.829406249999991</v>
      </c>
      <c r="E37" s="41">
        <v>7</v>
      </c>
      <c r="F37" s="33">
        <f t="shared" si="4"/>
        <v>467.68845906795843</v>
      </c>
      <c r="G37" s="100">
        <f t="shared" si="0"/>
        <v>154.80487995149426</v>
      </c>
      <c r="I37" s="32"/>
    </row>
    <row r="38" spans="1:13" x14ac:dyDescent="0.3">
      <c r="A38" s="41">
        <v>6</v>
      </c>
      <c r="B38" s="33">
        <f t="shared" si="1"/>
        <v>179.40020724999999</v>
      </c>
      <c r="C38" s="34">
        <f t="shared" si="2"/>
        <v>211.90178571428569</v>
      </c>
      <c r="D38" s="98">
        <f t="shared" si="3"/>
        <v>70.139491071428566</v>
      </c>
      <c r="E38" s="41">
        <v>6</v>
      </c>
      <c r="F38" s="33">
        <f t="shared" si="4"/>
        <v>400.87582205825004</v>
      </c>
      <c r="G38" s="100">
        <f t="shared" si="0"/>
        <v>132.68989710128076</v>
      </c>
      <c r="I38" s="32"/>
    </row>
    <row r="39" spans="1:13" x14ac:dyDescent="0.3">
      <c r="A39" s="41">
        <v>5</v>
      </c>
      <c r="B39" s="33">
        <f t="shared" si="1"/>
        <v>149.50017270833334</v>
      </c>
      <c r="C39" s="34">
        <f t="shared" si="2"/>
        <v>176.58482142857139</v>
      </c>
      <c r="D39" s="98">
        <f t="shared" si="3"/>
        <v>58.449575892857133</v>
      </c>
      <c r="E39" s="41">
        <v>5</v>
      </c>
      <c r="F39" s="33">
        <f t="shared" si="4"/>
        <v>334.0631850485417</v>
      </c>
      <c r="G39" s="100">
        <f t="shared" si="0"/>
        <v>110.57491425106731</v>
      </c>
      <c r="I39" s="32"/>
    </row>
    <row r="40" spans="1:13" x14ac:dyDescent="0.3">
      <c r="A40" s="41">
        <v>4</v>
      </c>
      <c r="B40" s="33">
        <f t="shared" si="1"/>
        <v>119.60013816666667</v>
      </c>
      <c r="C40" s="34">
        <f t="shared" si="2"/>
        <v>141.26785714285711</v>
      </c>
      <c r="D40" s="98">
        <f t="shared" si="3"/>
        <v>46.759660714285708</v>
      </c>
      <c r="E40" s="41">
        <v>4</v>
      </c>
      <c r="F40" s="33">
        <f t="shared" si="4"/>
        <v>267.25054803883336</v>
      </c>
      <c r="G40" s="100">
        <f t="shared" si="0"/>
        <v>88.459931400853847</v>
      </c>
      <c r="I40" s="32"/>
    </row>
    <row r="41" spans="1:13" x14ac:dyDescent="0.3">
      <c r="A41" s="41">
        <v>3</v>
      </c>
      <c r="B41" s="33">
        <f t="shared" si="1"/>
        <v>89.700103624999997</v>
      </c>
      <c r="C41" s="34">
        <f t="shared" si="2"/>
        <v>105.95089285714285</v>
      </c>
      <c r="D41" s="98">
        <f t="shared" si="3"/>
        <v>35.069745535714283</v>
      </c>
      <c r="E41" s="41">
        <v>3</v>
      </c>
      <c r="F41" s="33">
        <f t="shared" si="4"/>
        <v>200.43791102912502</v>
      </c>
      <c r="G41" s="100">
        <f t="shared" si="0"/>
        <v>66.344948550640382</v>
      </c>
      <c r="I41" s="32"/>
    </row>
    <row r="42" spans="1:13" x14ac:dyDescent="0.3">
      <c r="A42" s="41">
        <v>2</v>
      </c>
      <c r="B42" s="33">
        <f t="shared" si="1"/>
        <v>59.800069083333334</v>
      </c>
      <c r="C42" s="34">
        <f t="shared" si="2"/>
        <v>70.633928571428555</v>
      </c>
      <c r="D42" s="98">
        <f t="shared" si="3"/>
        <v>23.379830357142854</v>
      </c>
      <c r="E42" s="41">
        <v>2</v>
      </c>
      <c r="F42" s="33">
        <f t="shared" si="4"/>
        <v>133.62527401941668</v>
      </c>
      <c r="G42" s="100">
        <f t="shared" si="0"/>
        <v>44.229965700426924</v>
      </c>
      <c r="I42" s="32"/>
    </row>
    <row r="43" spans="1:13" ht="14.5" thickBot="1" x14ac:dyDescent="0.35">
      <c r="A43" s="97">
        <v>1</v>
      </c>
      <c r="B43" s="96">
        <f t="shared" si="1"/>
        <v>29.900034541666667</v>
      </c>
      <c r="C43" s="89">
        <f t="shared" si="2"/>
        <v>35.316964285714278</v>
      </c>
      <c r="D43" s="99">
        <f t="shared" si="3"/>
        <v>11.689915178571427</v>
      </c>
      <c r="E43" s="87">
        <v>1</v>
      </c>
      <c r="F43" s="36">
        <f t="shared" si="4"/>
        <v>66.81263700970834</v>
      </c>
      <c r="G43" s="101">
        <f t="shared" si="0"/>
        <v>22.114982850213462</v>
      </c>
      <c r="I43" s="32"/>
    </row>
    <row r="44" spans="1:13" hidden="1" x14ac:dyDescent="0.3">
      <c r="B44" s="95"/>
    </row>
    <row r="45" spans="1:13" hidden="1" x14ac:dyDescent="0.3"/>
    <row r="46" spans="1:13" s="54" customFormat="1" ht="28.5" hidden="1" thickBot="1" x14ac:dyDescent="0.3">
      <c r="A46" s="51"/>
      <c r="B46" s="52" t="s">
        <v>42</v>
      </c>
      <c r="C46" s="53">
        <v>8.7899999999999991</v>
      </c>
      <c r="D46" s="51"/>
      <c r="E46" s="55"/>
      <c r="G46" s="51"/>
      <c r="I46" s="56"/>
    </row>
    <row r="47" spans="1:13" hidden="1" x14ac:dyDescent="0.3"/>
    <row r="48" spans="1:13" hidden="1" x14ac:dyDescent="0.3"/>
    <row r="49" hidden="1" x14ac:dyDescent="0.3"/>
  </sheetData>
  <protectedRanges>
    <protectedRange sqref="M35" name="CALCULO RC"/>
    <protectedRange sqref="L25" name="RET TP"/>
    <protectedRange sqref="L22" name="DED"/>
    <protectedRange sqref="L7" name="RET TC"/>
  </protectedRanges>
  <mergeCells count="41">
    <mergeCell ref="I33:K33"/>
    <mergeCell ref="I35:L36"/>
    <mergeCell ref="M35:M36"/>
    <mergeCell ref="I28:L29"/>
    <mergeCell ref="I31:I32"/>
    <mergeCell ref="J31:J32"/>
    <mergeCell ref="K31:K32"/>
    <mergeCell ref="L31:L32"/>
    <mergeCell ref="I19:M20"/>
    <mergeCell ref="I22:K23"/>
    <mergeCell ref="L22:L23"/>
    <mergeCell ref="I25:K26"/>
    <mergeCell ref="L25:L26"/>
    <mergeCell ref="I15:I16"/>
    <mergeCell ref="J15:J16"/>
    <mergeCell ref="K15:K16"/>
    <mergeCell ref="L15:L16"/>
    <mergeCell ref="I17:J17"/>
    <mergeCell ref="I7:K8"/>
    <mergeCell ref="L7:L8"/>
    <mergeCell ref="I10:L11"/>
    <mergeCell ref="I13:I14"/>
    <mergeCell ref="J13:J14"/>
    <mergeCell ref="K13:K14"/>
    <mergeCell ref="L13:L14"/>
    <mergeCell ref="F2:F3"/>
    <mergeCell ref="G2:G3"/>
    <mergeCell ref="I1:K1"/>
    <mergeCell ref="L1:M1"/>
    <mergeCell ref="I3:I4"/>
    <mergeCell ref="J3:J4"/>
    <mergeCell ref="K3:K4"/>
    <mergeCell ref="L3:L4"/>
    <mergeCell ref="M3:M4"/>
    <mergeCell ref="F1:G1"/>
    <mergeCell ref="E2:E3"/>
    <mergeCell ref="B1:D1"/>
    <mergeCell ref="A2:A3"/>
    <mergeCell ref="B2:B3"/>
    <mergeCell ref="C2:C3"/>
    <mergeCell ref="D2:D3"/>
  </mergeCells>
  <phoneticPr fontId="0" type="noConversion"/>
  <hyperlinks>
    <hyperlink ref="M35" r:id="rId1" xr:uid="{00000000-0004-0000-0200-000000000000}"/>
    <hyperlink ref="M35:M36" r:id="rId2" display="CALCULO RC" xr:uid="{00000000-0004-0000-0200-000001000000}"/>
  </hyperlinks>
  <pageMargins left="0.75" right="0.75" top="1" bottom="1" header="0" footer="0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workbookViewId="0">
      <selection activeCell="A44" sqref="A44:XFD49"/>
    </sheetView>
  </sheetViews>
  <sheetFormatPr baseColWidth="10" defaultRowHeight="13" x14ac:dyDescent="0.3"/>
  <cols>
    <col min="1" max="1" width="25.1796875" style="1" bestFit="1" customWidth="1"/>
    <col min="2" max="2" width="33.81640625" style="1" customWidth="1"/>
    <col min="3" max="3" width="10.26953125" style="30" hidden="1" customWidth="1"/>
    <col min="4" max="4" width="17.26953125" bestFit="1" customWidth="1"/>
    <col min="5" max="5" width="6.81640625" customWidth="1"/>
    <col min="6" max="6" width="6.81640625" bestFit="1" customWidth="1"/>
    <col min="7" max="7" width="28.7265625" bestFit="1" customWidth="1"/>
    <col min="8" max="8" width="17" bestFit="1" customWidth="1"/>
    <col min="9" max="9" width="26.54296875" customWidth="1"/>
    <col min="10" max="10" width="17.453125" customWidth="1"/>
    <col min="11" max="11" width="16.453125" customWidth="1"/>
  </cols>
  <sheetData>
    <row r="1" spans="1:11" ht="43.15" customHeight="1" x14ac:dyDescent="0.25">
      <c r="A1" s="178" t="s">
        <v>0</v>
      </c>
      <c r="B1" s="153" t="s">
        <v>72</v>
      </c>
      <c r="C1" s="181" t="s">
        <v>75</v>
      </c>
      <c r="D1" s="155" t="s">
        <v>78</v>
      </c>
      <c r="G1" s="183" t="s">
        <v>47</v>
      </c>
      <c r="H1" s="184"/>
      <c r="I1" s="185"/>
      <c r="J1" s="183" t="s">
        <v>48</v>
      </c>
      <c r="K1" s="185"/>
    </row>
    <row r="2" spans="1:11" ht="28.5" customHeight="1" thickBot="1" x14ac:dyDescent="0.3">
      <c r="A2" s="179"/>
      <c r="B2" s="154"/>
      <c r="C2" s="182"/>
      <c r="D2" s="156"/>
      <c r="G2" s="60" t="s">
        <v>49</v>
      </c>
      <c r="H2" s="60" t="s">
        <v>50</v>
      </c>
      <c r="I2" s="60" t="s">
        <v>51</v>
      </c>
      <c r="J2" s="61" t="s">
        <v>52</v>
      </c>
      <c r="K2" s="60" t="s">
        <v>53</v>
      </c>
    </row>
    <row r="3" spans="1:11" ht="14" x14ac:dyDescent="0.3">
      <c r="A3" s="42">
        <v>40</v>
      </c>
      <c r="B3" s="33">
        <f>PARAMETROS!B5</f>
        <v>2416.2473333333332</v>
      </c>
      <c r="C3" s="34"/>
      <c r="D3" s="43"/>
      <c r="G3" s="186">
        <v>5</v>
      </c>
      <c r="H3" s="188">
        <v>1323</v>
      </c>
      <c r="I3" s="188">
        <v>4720.5</v>
      </c>
      <c r="J3" s="190">
        <v>1323</v>
      </c>
      <c r="K3" s="190">
        <v>4720.5</v>
      </c>
    </row>
    <row r="4" spans="1:11" ht="14" x14ac:dyDescent="0.3">
      <c r="A4" s="42">
        <v>39</v>
      </c>
      <c r="B4" s="33">
        <f>PRODUCT(PARAMETROS!B$5,A4)/A$3</f>
        <v>2355.8411499999997</v>
      </c>
      <c r="C4" s="34">
        <f>(A4/$A$3* 7.5*5)/7*30*$C$46</f>
        <v>1248.8705357142856</v>
      </c>
      <c r="D4" s="43">
        <f>IF(B4&lt;C4,C4*$I$17%,B4*$I$17%)</f>
        <v>781.66809356999988</v>
      </c>
      <c r="G4" s="187"/>
      <c r="H4" s="189"/>
      <c r="I4" s="189"/>
      <c r="J4" s="191"/>
      <c r="K4" s="191"/>
    </row>
    <row r="5" spans="1:11" ht="14" x14ac:dyDescent="0.3">
      <c r="A5" s="42">
        <v>38</v>
      </c>
      <c r="B5" s="33">
        <f>PRODUCT(PARAMETROS!B$5,A5)/A$3</f>
        <v>2295.4349666666667</v>
      </c>
      <c r="C5" s="34">
        <f t="shared" ref="C5:C42" si="0">(A5/$A$3* 7.5*5)/7*30*$C$46</f>
        <v>1216.8482142857144</v>
      </c>
      <c r="D5" s="43">
        <f t="shared" ref="D5:D42" si="1">IF(B5&lt;C5,C5*$I$17%,B5*$I$17%)</f>
        <v>761.62532193999994</v>
      </c>
      <c r="G5" s="62"/>
      <c r="H5" s="63"/>
      <c r="I5" s="63"/>
      <c r="J5" s="64"/>
      <c r="K5" s="63"/>
    </row>
    <row r="6" spans="1:11" ht="14.5" thickBot="1" x14ac:dyDescent="0.35">
      <c r="A6" s="42">
        <v>37</v>
      </c>
      <c r="B6" s="33">
        <f>PRODUCT(PARAMETROS!B$5,A6)/A$3</f>
        <v>2235.0287833333332</v>
      </c>
      <c r="C6" s="34">
        <f t="shared" si="0"/>
        <v>1184.8258928571429</v>
      </c>
      <c r="D6" s="43">
        <f t="shared" si="1"/>
        <v>741.58255030999987</v>
      </c>
      <c r="G6" s="62"/>
      <c r="H6" s="65"/>
      <c r="I6" s="63"/>
      <c r="J6" s="64"/>
      <c r="K6" s="63"/>
    </row>
    <row r="7" spans="1:11" ht="14.25" customHeight="1" x14ac:dyDescent="0.3">
      <c r="A7" s="42">
        <v>36</v>
      </c>
      <c r="B7" s="33">
        <f>PRODUCT(PARAMETROS!B$5,A7)/A$3</f>
        <v>2174.6225999999997</v>
      </c>
      <c r="C7" s="34">
        <f t="shared" si="0"/>
        <v>1152.8035714285713</v>
      </c>
      <c r="D7" s="43">
        <f t="shared" si="1"/>
        <v>721.53977867999981</v>
      </c>
      <c r="G7" s="133" t="s">
        <v>54</v>
      </c>
      <c r="H7" s="133"/>
      <c r="I7" s="134"/>
      <c r="J7" s="192">
        <v>0</v>
      </c>
      <c r="K7" s="63"/>
    </row>
    <row r="8" spans="1:11" ht="14.25" customHeight="1" thickBot="1" x14ac:dyDescent="0.35">
      <c r="A8" s="42">
        <v>35</v>
      </c>
      <c r="B8" s="33">
        <f>PRODUCT(PARAMETROS!B$5,A8)/A$3</f>
        <v>2114.2164166666666</v>
      </c>
      <c r="C8" s="34">
        <f t="shared" si="0"/>
        <v>1120.78125</v>
      </c>
      <c r="D8" s="43">
        <f t="shared" si="1"/>
        <v>701.49700704999998</v>
      </c>
      <c r="G8" s="133"/>
      <c r="H8" s="133"/>
      <c r="I8" s="134"/>
      <c r="J8" s="193"/>
      <c r="K8" s="63"/>
    </row>
    <row r="9" spans="1:11" ht="14.5" thickBot="1" x14ac:dyDescent="0.35">
      <c r="A9" s="42">
        <v>34</v>
      </c>
      <c r="B9" s="33">
        <f>PRODUCT(PARAMETROS!B$5,A9)/A$3</f>
        <v>2053.8102333333331</v>
      </c>
      <c r="C9" s="34">
        <f t="shared" si="0"/>
        <v>1088.7589285714287</v>
      </c>
      <c r="D9" s="43">
        <f t="shared" si="1"/>
        <v>681.45423541999992</v>
      </c>
      <c r="G9" s="66"/>
      <c r="H9" s="67"/>
      <c r="I9" s="68"/>
      <c r="J9" s="69"/>
      <c r="K9" s="63"/>
    </row>
    <row r="10" spans="1:11" ht="14.25" customHeight="1" x14ac:dyDescent="0.3">
      <c r="A10" s="42">
        <v>33</v>
      </c>
      <c r="B10" s="33">
        <f>PRODUCT(PARAMETROS!B$5,A10)/A$3</f>
        <v>1993.4040499999999</v>
      </c>
      <c r="C10" s="34">
        <f t="shared" si="0"/>
        <v>1056.7366071428569</v>
      </c>
      <c r="D10" s="43">
        <f t="shared" si="1"/>
        <v>661.41146378999997</v>
      </c>
      <c r="G10" s="137" t="s">
        <v>55</v>
      </c>
      <c r="H10" s="138"/>
      <c r="I10" s="138"/>
      <c r="J10" s="139"/>
      <c r="K10" s="63"/>
    </row>
    <row r="11" spans="1:11" ht="14.25" customHeight="1" thickBot="1" x14ac:dyDescent="0.35">
      <c r="A11" s="42">
        <v>32</v>
      </c>
      <c r="B11" s="33">
        <f>PRODUCT(PARAMETROS!B$5,A11)/A$3</f>
        <v>1932.9978666666666</v>
      </c>
      <c r="C11" s="34">
        <f t="shared" si="0"/>
        <v>1024.7142857142856</v>
      </c>
      <c r="D11" s="43">
        <f t="shared" si="1"/>
        <v>641.36869215999991</v>
      </c>
      <c r="G11" s="140"/>
      <c r="H11" s="141"/>
      <c r="I11" s="141"/>
      <c r="J11" s="142"/>
      <c r="K11" s="63"/>
    </row>
    <row r="12" spans="1:11" ht="14.5" thickBot="1" x14ac:dyDescent="0.35">
      <c r="A12" s="42">
        <v>31</v>
      </c>
      <c r="B12" s="33">
        <f>PRODUCT(PARAMETROS!B$5,A12)/A$3</f>
        <v>1872.5916833333333</v>
      </c>
      <c r="C12" s="34">
        <f t="shared" si="0"/>
        <v>992.69196428571422</v>
      </c>
      <c r="D12" s="43">
        <f t="shared" si="1"/>
        <v>621.32592052999996</v>
      </c>
      <c r="G12" s="70"/>
      <c r="H12" s="81" t="s">
        <v>56</v>
      </c>
      <c r="I12" s="72" t="s">
        <v>57</v>
      </c>
      <c r="J12" s="103" t="s">
        <v>58</v>
      </c>
      <c r="K12" s="63"/>
    </row>
    <row r="13" spans="1:11" ht="14" x14ac:dyDescent="0.3">
      <c r="A13" s="42">
        <v>30</v>
      </c>
      <c r="B13" s="33">
        <f>PRODUCT(PARAMETROS!B$5,A13)/A$3</f>
        <v>1812.1855</v>
      </c>
      <c r="C13" s="34">
        <f t="shared" si="0"/>
        <v>960.66964285714289</v>
      </c>
      <c r="D13" s="43">
        <f t="shared" si="1"/>
        <v>601.28314890000001</v>
      </c>
      <c r="G13" s="169" t="s">
        <v>59</v>
      </c>
      <c r="H13" s="145">
        <f>IF(J7&gt;=H3,J7,H3)</f>
        <v>1323</v>
      </c>
      <c r="I13" s="163">
        <v>24.18</v>
      </c>
      <c r="J13" s="129">
        <f>H13*I13%</f>
        <v>319.90139999999997</v>
      </c>
      <c r="K13" s="63"/>
    </row>
    <row r="14" spans="1:11" ht="14.5" thickBot="1" x14ac:dyDescent="0.35">
      <c r="A14" s="42">
        <v>29</v>
      </c>
      <c r="B14" s="33">
        <f>PRODUCT(PARAMETROS!B$5,A14)/A$3</f>
        <v>1751.7793166666665</v>
      </c>
      <c r="C14" s="34">
        <f t="shared" si="0"/>
        <v>928.64732142857144</v>
      </c>
      <c r="D14" s="43">
        <f t="shared" si="1"/>
        <v>581.24037726999995</v>
      </c>
      <c r="G14" s="170"/>
      <c r="H14" s="146"/>
      <c r="I14" s="164"/>
      <c r="J14" s="165"/>
      <c r="K14" s="63"/>
    </row>
    <row r="15" spans="1:11" ht="14" x14ac:dyDescent="0.3">
      <c r="A15" s="42">
        <v>28</v>
      </c>
      <c r="B15" s="33">
        <f>PRODUCT(PARAMETROS!B$5,A15)/A$3</f>
        <v>1691.3731333333333</v>
      </c>
      <c r="C15" s="34">
        <f t="shared" si="0"/>
        <v>896.625</v>
      </c>
      <c r="D15" s="43">
        <f t="shared" si="1"/>
        <v>561.19760564000001</v>
      </c>
      <c r="G15" s="169" t="s">
        <v>60</v>
      </c>
      <c r="H15" s="145">
        <f>IF(J7&gt;=J3,J7,J3)</f>
        <v>1323</v>
      </c>
      <c r="I15" s="163">
        <v>9</v>
      </c>
      <c r="J15" s="129">
        <f>H15*I15%</f>
        <v>119.07</v>
      </c>
      <c r="K15" s="63"/>
    </row>
    <row r="16" spans="1:11" ht="14.5" thickBot="1" x14ac:dyDescent="0.35">
      <c r="A16" s="42">
        <v>27</v>
      </c>
      <c r="B16" s="33">
        <f>PRODUCT(PARAMETROS!B$5,A16)/A$3</f>
        <v>1630.96695</v>
      </c>
      <c r="C16" s="34">
        <f t="shared" si="0"/>
        <v>864.60267857142844</v>
      </c>
      <c r="D16" s="43">
        <f t="shared" si="1"/>
        <v>541.15483400999995</v>
      </c>
      <c r="G16" s="170"/>
      <c r="H16" s="146"/>
      <c r="I16" s="164"/>
      <c r="J16" s="165"/>
      <c r="K16" s="63"/>
    </row>
    <row r="17" spans="1:11" ht="15" customHeight="1" thickBot="1" x14ac:dyDescent="0.35">
      <c r="A17" s="42">
        <v>26</v>
      </c>
      <c r="B17" s="33">
        <f>PRODUCT(PARAMETROS!B$5,A17)/A$3</f>
        <v>1570.5607666666667</v>
      </c>
      <c r="C17" s="34">
        <f t="shared" si="0"/>
        <v>832.58035714285722</v>
      </c>
      <c r="D17" s="43">
        <f t="shared" si="1"/>
        <v>521.11206238</v>
      </c>
      <c r="G17" s="131" t="s">
        <v>61</v>
      </c>
      <c r="H17" s="132"/>
      <c r="I17" s="74">
        <f>(I13+I15)</f>
        <v>33.18</v>
      </c>
      <c r="J17" s="75">
        <f>SUM(J13:J16)</f>
        <v>438.97139999999996</v>
      </c>
      <c r="K17" s="63"/>
    </row>
    <row r="18" spans="1:11" ht="15" customHeight="1" x14ac:dyDescent="0.3">
      <c r="A18" s="42">
        <v>25</v>
      </c>
      <c r="B18" s="33">
        <f>PRODUCT(PARAMETROS!B$5,A18)/A$3</f>
        <v>1510.1545833333334</v>
      </c>
      <c r="C18" s="34">
        <f t="shared" si="0"/>
        <v>800.55803571428567</v>
      </c>
      <c r="D18" s="43">
        <f t="shared" si="1"/>
        <v>501.06929074999999</v>
      </c>
      <c r="G18" s="76"/>
      <c r="H18" s="77"/>
      <c r="I18" s="78"/>
      <c r="J18" s="79"/>
      <c r="K18" s="63"/>
    </row>
    <row r="19" spans="1:11" ht="14.25" customHeight="1" x14ac:dyDescent="0.3">
      <c r="A19" s="42">
        <v>24</v>
      </c>
      <c r="B19" s="33">
        <f>PRODUCT(PARAMETROS!B$5,A19)/A$3</f>
        <v>1449.7483999999999</v>
      </c>
      <c r="C19" s="34">
        <f t="shared" si="0"/>
        <v>768.53571428571433</v>
      </c>
      <c r="D19" s="43">
        <f t="shared" si="1"/>
        <v>481.02651911999993</v>
      </c>
      <c r="G19" s="166" t="s">
        <v>73</v>
      </c>
      <c r="H19" s="166"/>
      <c r="I19" s="166"/>
      <c r="J19" s="166"/>
      <c r="K19" s="166"/>
    </row>
    <row r="20" spans="1:11" ht="14.25" customHeight="1" x14ac:dyDescent="0.3">
      <c r="A20" s="42">
        <v>23</v>
      </c>
      <c r="B20" s="33">
        <f>PRODUCT(PARAMETROS!B$5,A20)/A$3</f>
        <v>1389.3422166666664</v>
      </c>
      <c r="C20" s="34">
        <f t="shared" si="0"/>
        <v>736.51339285714278</v>
      </c>
      <c r="D20" s="43">
        <f t="shared" si="1"/>
        <v>460.98374748999993</v>
      </c>
      <c r="G20" s="166"/>
      <c r="H20" s="166"/>
      <c r="I20" s="166"/>
      <c r="J20" s="166"/>
      <c r="K20" s="166"/>
    </row>
    <row r="21" spans="1:11" ht="14.5" thickBot="1" x14ac:dyDescent="0.35">
      <c r="A21" s="42">
        <v>22</v>
      </c>
      <c r="B21" s="33">
        <f>PRODUCT(PARAMETROS!B$5,A21)/A$3</f>
        <v>1328.9360333333332</v>
      </c>
      <c r="C21" s="34">
        <f t="shared" si="0"/>
        <v>704.49107142857144</v>
      </c>
      <c r="D21" s="43">
        <f t="shared" si="1"/>
        <v>440.94097585999992</v>
      </c>
      <c r="G21" s="62"/>
      <c r="H21" s="65"/>
      <c r="I21" s="63"/>
      <c r="J21" s="64"/>
      <c r="K21" s="63"/>
    </row>
    <row r="22" spans="1:11" ht="14.25" customHeight="1" x14ac:dyDescent="0.3">
      <c r="A22" s="42">
        <v>21</v>
      </c>
      <c r="B22" s="33">
        <f>PRODUCT(PARAMETROS!B$5,A22)/A$3</f>
        <v>1268.5298499999999</v>
      </c>
      <c r="C22" s="34">
        <f t="shared" si="0"/>
        <v>672.46875</v>
      </c>
      <c r="D22" s="43">
        <f t="shared" si="1"/>
        <v>420.89820422999992</v>
      </c>
      <c r="G22" s="133" t="s">
        <v>63</v>
      </c>
      <c r="H22" s="133"/>
      <c r="I22" s="134"/>
      <c r="J22" s="195">
        <v>0</v>
      </c>
      <c r="K22" s="63"/>
    </row>
    <row r="23" spans="1:11" ht="14.25" customHeight="1" thickBot="1" x14ac:dyDescent="0.35">
      <c r="A23" s="42">
        <v>20</v>
      </c>
      <c r="B23" s="33">
        <f>PRODUCT(PARAMETROS!B$5,A23)/A$3</f>
        <v>1208.1236666666666</v>
      </c>
      <c r="C23" s="34">
        <f t="shared" si="0"/>
        <v>640.44642857142844</v>
      </c>
      <c r="D23" s="43">
        <f t="shared" si="1"/>
        <v>400.85543259999997</v>
      </c>
      <c r="G23" s="133"/>
      <c r="H23" s="133"/>
      <c r="I23" s="134"/>
      <c r="J23" s="196"/>
      <c r="K23" s="63"/>
    </row>
    <row r="24" spans="1:11" ht="14.5" thickBot="1" x14ac:dyDescent="0.35">
      <c r="A24" s="42">
        <v>19</v>
      </c>
      <c r="B24" s="33">
        <f>PRODUCT(PARAMETROS!B$5,A24)/A$3</f>
        <v>1147.7174833333333</v>
      </c>
      <c r="C24" s="34">
        <f t="shared" si="0"/>
        <v>608.42410714285722</v>
      </c>
      <c r="D24" s="43">
        <f t="shared" si="1"/>
        <v>380.81266096999997</v>
      </c>
      <c r="G24" s="62"/>
      <c r="H24" s="65"/>
      <c r="I24" s="63"/>
      <c r="J24" s="64"/>
      <c r="K24" s="63"/>
    </row>
    <row r="25" spans="1:11" ht="14.25" customHeight="1" x14ac:dyDescent="0.3">
      <c r="A25" s="42">
        <v>18</v>
      </c>
      <c r="B25" s="33">
        <f>PRODUCT(PARAMETROS!B$5,A25)/A$3</f>
        <v>1087.3112999999998</v>
      </c>
      <c r="C25" s="34">
        <f t="shared" si="0"/>
        <v>576.40178571428567</v>
      </c>
      <c r="D25" s="43">
        <f t="shared" si="1"/>
        <v>360.76988933999991</v>
      </c>
      <c r="G25" s="133" t="s">
        <v>64</v>
      </c>
      <c r="H25" s="133"/>
      <c r="I25" s="134"/>
      <c r="J25" s="192">
        <v>0</v>
      </c>
      <c r="K25" s="63"/>
    </row>
    <row r="26" spans="1:11" ht="14.25" customHeight="1" thickBot="1" x14ac:dyDescent="0.35">
      <c r="A26" s="42">
        <v>17</v>
      </c>
      <c r="B26" s="33">
        <f>PRODUCT(PARAMETROS!B$5,A26)/A$3</f>
        <v>1026.9051166666666</v>
      </c>
      <c r="C26" s="34">
        <f t="shared" si="0"/>
        <v>544.37946428571433</v>
      </c>
      <c r="D26" s="43">
        <f t="shared" si="1"/>
        <v>340.72711770999996</v>
      </c>
      <c r="G26" s="133"/>
      <c r="H26" s="133"/>
      <c r="I26" s="134"/>
      <c r="J26" s="193"/>
      <c r="K26" s="63"/>
    </row>
    <row r="27" spans="1:11" ht="14.5" thickBot="1" x14ac:dyDescent="0.35">
      <c r="A27" s="42">
        <v>16</v>
      </c>
      <c r="B27" s="33">
        <f>PRODUCT(PARAMETROS!B$5,A27)/A$3</f>
        <v>966.4989333333333</v>
      </c>
      <c r="C27" s="34">
        <f t="shared" si="0"/>
        <v>512.35714285714278</v>
      </c>
      <c r="D27" s="43">
        <f t="shared" si="1"/>
        <v>320.68434607999995</v>
      </c>
      <c r="G27" s="62"/>
      <c r="H27" s="65"/>
      <c r="I27" s="63"/>
      <c r="J27" s="64"/>
      <c r="K27" s="63"/>
    </row>
    <row r="28" spans="1:11" ht="14.25" customHeight="1" x14ac:dyDescent="0.3">
      <c r="A28" s="42">
        <v>15</v>
      </c>
      <c r="B28" s="33">
        <f>PRODUCT(PARAMETROS!B$5,A28)/A$3</f>
        <v>906.09275000000002</v>
      </c>
      <c r="C28" s="34">
        <f t="shared" si="0"/>
        <v>480.33482142857144</v>
      </c>
      <c r="D28" s="43">
        <f t="shared" si="1"/>
        <v>300.64157445000001</v>
      </c>
      <c r="G28" s="137" t="s">
        <v>65</v>
      </c>
      <c r="H28" s="138"/>
      <c r="I28" s="138"/>
      <c r="J28" s="139"/>
      <c r="K28" s="63"/>
    </row>
    <row r="29" spans="1:11" ht="14.25" customHeight="1" thickBot="1" x14ac:dyDescent="0.35">
      <c r="A29" s="42">
        <v>14</v>
      </c>
      <c r="B29" s="33">
        <f>PRODUCT(PARAMETROS!B$5,A29)/A$3</f>
        <v>845.68656666666664</v>
      </c>
      <c r="C29" s="34">
        <f t="shared" si="0"/>
        <v>448.3125</v>
      </c>
      <c r="D29" s="43">
        <f t="shared" si="1"/>
        <v>280.59880282</v>
      </c>
      <c r="G29" s="140"/>
      <c r="H29" s="141"/>
      <c r="I29" s="141"/>
      <c r="J29" s="142"/>
      <c r="K29" s="63"/>
    </row>
    <row r="30" spans="1:11" ht="14.5" thickBot="1" x14ac:dyDescent="0.35">
      <c r="A30" s="42">
        <v>13</v>
      </c>
      <c r="B30" s="33">
        <f>PRODUCT(PARAMETROS!B$5,A30)/A$3</f>
        <v>785.28038333333336</v>
      </c>
      <c r="C30" s="34">
        <f t="shared" si="0"/>
        <v>416.29017857142861</v>
      </c>
      <c r="D30" s="43">
        <f t="shared" si="1"/>
        <v>260.55603119</v>
      </c>
      <c r="G30" s="80" t="s">
        <v>66</v>
      </c>
      <c r="H30" s="81" t="s">
        <v>56</v>
      </c>
      <c r="I30" s="72" t="s">
        <v>67</v>
      </c>
      <c r="J30" s="73" t="s">
        <v>58</v>
      </c>
      <c r="K30" s="63"/>
    </row>
    <row r="31" spans="1:11" ht="14" x14ac:dyDescent="0.3">
      <c r="A31" s="42">
        <v>12</v>
      </c>
      <c r="B31" s="33">
        <f>PRODUCT(PARAMETROS!B$5,A31)/A$3</f>
        <v>724.87419999999997</v>
      </c>
      <c r="C31" s="34">
        <f t="shared" si="0"/>
        <v>384.26785714285717</v>
      </c>
      <c r="D31" s="43">
        <f t="shared" si="1"/>
        <v>240.51325955999997</v>
      </c>
      <c r="G31" s="194">
        <f>(J22/40*7.5*5)/7*30*$C$46</f>
        <v>0</v>
      </c>
      <c r="H31" s="161">
        <f>IF(J25&lt;G31,G31,J25)</f>
        <v>0</v>
      </c>
      <c r="I31" s="163">
        <v>33.18</v>
      </c>
      <c r="J31" s="129">
        <f>H31*I31%</f>
        <v>0</v>
      </c>
      <c r="K31" s="63"/>
    </row>
    <row r="32" spans="1:11" ht="14.5" thickBot="1" x14ac:dyDescent="0.35">
      <c r="A32" s="42">
        <v>11</v>
      </c>
      <c r="B32" s="33">
        <f>PRODUCT(PARAMETROS!B$5,A32)/A$3</f>
        <v>664.46801666666659</v>
      </c>
      <c r="C32" s="34">
        <f t="shared" si="0"/>
        <v>352.24553571428572</v>
      </c>
      <c r="D32" s="43">
        <f t="shared" si="1"/>
        <v>220.47048792999996</v>
      </c>
      <c r="G32" s="160"/>
      <c r="H32" s="162"/>
      <c r="I32" s="164"/>
      <c r="J32" s="165"/>
      <c r="K32" s="63"/>
    </row>
    <row r="33" spans="1:11" ht="15" customHeight="1" thickBot="1" x14ac:dyDescent="0.35">
      <c r="A33" s="42">
        <v>10</v>
      </c>
      <c r="B33" s="33">
        <f>PRODUCT(PARAMETROS!B$5,A33)/A$3</f>
        <v>604.06183333333331</v>
      </c>
      <c r="C33" s="34">
        <f t="shared" si="0"/>
        <v>320.22321428571422</v>
      </c>
      <c r="D33" s="43">
        <f t="shared" si="1"/>
        <v>200.42771629999999</v>
      </c>
      <c r="G33" s="173" t="s">
        <v>68</v>
      </c>
      <c r="H33" s="174"/>
      <c r="I33" s="175"/>
      <c r="J33" s="75">
        <f>SUM(J31)</f>
        <v>0</v>
      </c>
      <c r="K33" s="63"/>
    </row>
    <row r="34" spans="1:11" ht="15" customHeight="1" x14ac:dyDescent="0.3">
      <c r="A34" s="42">
        <v>9</v>
      </c>
      <c r="B34" s="33">
        <f>PRODUCT(PARAMETROS!B$5,A34)/A$3</f>
        <v>543.65564999999992</v>
      </c>
      <c r="C34" s="34">
        <f t="shared" si="0"/>
        <v>288.20089285714283</v>
      </c>
      <c r="D34" s="43">
        <f t="shared" si="1"/>
        <v>180.38494466999995</v>
      </c>
      <c r="G34" s="62"/>
      <c r="H34" s="65"/>
      <c r="I34" s="63"/>
      <c r="J34" s="64"/>
      <c r="K34" s="63"/>
    </row>
    <row r="35" spans="1:11" ht="14.25" customHeight="1" x14ac:dyDescent="0.3">
      <c r="A35" s="42">
        <v>8</v>
      </c>
      <c r="B35" s="33">
        <f>PRODUCT(PARAMETROS!B$5,A35)/A$3</f>
        <v>483.24946666666665</v>
      </c>
      <c r="C35" s="34">
        <f t="shared" si="0"/>
        <v>256.17857142857139</v>
      </c>
      <c r="D35" s="43">
        <f t="shared" si="1"/>
        <v>160.34217303999998</v>
      </c>
      <c r="G35" s="180" t="s">
        <v>69</v>
      </c>
      <c r="H35" s="180"/>
      <c r="I35" s="180"/>
      <c r="J35" s="152" t="s">
        <v>70</v>
      </c>
      <c r="K35" s="104"/>
    </row>
    <row r="36" spans="1:11" ht="14.25" customHeight="1" x14ac:dyDescent="0.3">
      <c r="A36" s="42">
        <v>7</v>
      </c>
      <c r="B36" s="33">
        <f>PRODUCT(PARAMETROS!B$5,A36)/A$3</f>
        <v>422.84328333333332</v>
      </c>
      <c r="C36" s="34">
        <f t="shared" si="0"/>
        <v>224.15625</v>
      </c>
      <c r="D36" s="43">
        <f t="shared" si="1"/>
        <v>140.29940141</v>
      </c>
      <c r="G36" s="180"/>
      <c r="H36" s="180"/>
      <c r="I36" s="180"/>
      <c r="J36" s="152"/>
      <c r="K36" s="104"/>
    </row>
    <row r="37" spans="1:11" ht="14" x14ac:dyDescent="0.3">
      <c r="A37" s="42">
        <v>6</v>
      </c>
      <c r="B37" s="33">
        <f>PRODUCT(PARAMETROS!B$5,A37)/A$3</f>
        <v>362.43709999999999</v>
      </c>
      <c r="C37" s="34">
        <f t="shared" si="0"/>
        <v>192.13392857142858</v>
      </c>
      <c r="D37" s="43">
        <f t="shared" si="1"/>
        <v>120.25662977999998</v>
      </c>
    </row>
    <row r="38" spans="1:11" ht="14" x14ac:dyDescent="0.3">
      <c r="A38" s="42">
        <v>5</v>
      </c>
      <c r="B38" s="33">
        <f>PRODUCT(PARAMETROS!B$5,A38)/A$3</f>
        <v>302.03091666666666</v>
      </c>
      <c r="C38" s="34">
        <f t="shared" si="0"/>
        <v>160.11160714285711</v>
      </c>
      <c r="D38" s="43">
        <f t="shared" si="1"/>
        <v>100.21385814999999</v>
      </c>
    </row>
    <row r="39" spans="1:11" ht="14" x14ac:dyDescent="0.3">
      <c r="A39" s="42">
        <v>4</v>
      </c>
      <c r="B39" s="33">
        <f>PRODUCT(PARAMETROS!B$5,A39)/A$3</f>
        <v>241.62473333333332</v>
      </c>
      <c r="C39" s="34">
        <f t="shared" si="0"/>
        <v>128.08928571428569</v>
      </c>
      <c r="D39" s="43">
        <f t="shared" si="1"/>
        <v>80.171086519999989</v>
      </c>
    </row>
    <row r="40" spans="1:11" ht="14" x14ac:dyDescent="0.3">
      <c r="A40" s="42">
        <v>3</v>
      </c>
      <c r="B40" s="33">
        <f>PRODUCT(PARAMETROS!B$5,A40)/A$3</f>
        <v>181.21854999999999</v>
      </c>
      <c r="C40" s="34">
        <f t="shared" si="0"/>
        <v>96.066964285714292</v>
      </c>
      <c r="D40" s="43">
        <f t="shared" si="1"/>
        <v>60.128314889999992</v>
      </c>
    </row>
    <row r="41" spans="1:11" ht="14" x14ac:dyDescent="0.3">
      <c r="A41" s="42">
        <v>2</v>
      </c>
      <c r="B41" s="33">
        <f>PRODUCT(PARAMETROS!B$5,A41)/A$3</f>
        <v>120.81236666666666</v>
      </c>
      <c r="C41" s="34">
        <f t="shared" si="0"/>
        <v>64.044642857142847</v>
      </c>
      <c r="D41" s="43">
        <f t="shared" si="1"/>
        <v>40.085543259999994</v>
      </c>
    </row>
    <row r="42" spans="1:11" ht="14.5" thickBot="1" x14ac:dyDescent="0.35">
      <c r="A42" s="87">
        <v>1</v>
      </c>
      <c r="B42" s="36">
        <f>PRODUCT(PARAMETROS!B$5,A42)/A$3</f>
        <v>60.406183333333331</v>
      </c>
      <c r="C42" s="107">
        <f t="shared" si="0"/>
        <v>32.022321428571423</v>
      </c>
      <c r="D42" s="43">
        <f t="shared" si="1"/>
        <v>20.042771629999997</v>
      </c>
    </row>
    <row r="43" spans="1:11" x14ac:dyDescent="0.3">
      <c r="D43" s="106"/>
    </row>
    <row r="44" spans="1:11" hidden="1" x14ac:dyDescent="0.3"/>
    <row r="45" spans="1:11" ht="13.5" hidden="1" thickBot="1" x14ac:dyDescent="0.35"/>
    <row r="46" spans="1:11" s="58" customFormat="1" ht="28.5" hidden="1" thickBot="1" x14ac:dyDescent="0.3">
      <c r="A46" s="57"/>
      <c r="B46" s="52" t="s">
        <v>46</v>
      </c>
      <c r="C46" s="53">
        <v>7.97</v>
      </c>
    </row>
    <row r="47" spans="1:11" hidden="1" x14ac:dyDescent="0.3"/>
    <row r="48" spans="1:11" hidden="1" x14ac:dyDescent="0.3"/>
    <row r="49" hidden="1" x14ac:dyDescent="0.3"/>
  </sheetData>
  <sheetProtection algorithmName="SHA-512" hashValue="G/9OwTMNkcOsUlBv640NkCV8E/ez/NfJi4U3kqnO7T3BpN3IDXMMQWlP/sxgP/oL6ZCLhqg5/cAeDJ7Wnewkvw==" saltValue="GPE1C3cqnJcvWSjLVexenQ==" spinCount="100000" sheet="1" objects="1" scenarios="1"/>
  <protectedRanges>
    <protectedRange sqref="J35" name="CALCULO RC_2"/>
    <protectedRange sqref="J25" name="RET TP_2"/>
    <protectedRange sqref="J22" name="DED_2"/>
    <protectedRange sqref="J7" name="RET TC_2"/>
  </protectedRanges>
  <mergeCells count="36">
    <mergeCell ref="G33:I33"/>
    <mergeCell ref="G19:K20"/>
    <mergeCell ref="G22:I23"/>
    <mergeCell ref="J22:J23"/>
    <mergeCell ref="G25:I26"/>
    <mergeCell ref="J25:J26"/>
    <mergeCell ref="G13:G14"/>
    <mergeCell ref="H13:H14"/>
    <mergeCell ref="I13:I14"/>
    <mergeCell ref="G28:J29"/>
    <mergeCell ref="G31:G32"/>
    <mergeCell ref="H31:H32"/>
    <mergeCell ref="I31:I32"/>
    <mergeCell ref="J31:J32"/>
    <mergeCell ref="G15:G16"/>
    <mergeCell ref="H15:H16"/>
    <mergeCell ref="I15:I16"/>
    <mergeCell ref="J15:J16"/>
    <mergeCell ref="G17:H17"/>
    <mergeCell ref="J13:J14"/>
    <mergeCell ref="A1:A2"/>
    <mergeCell ref="G35:I36"/>
    <mergeCell ref="J35:J36"/>
    <mergeCell ref="D1:D2"/>
    <mergeCell ref="B1:B2"/>
    <mergeCell ref="C1:C2"/>
    <mergeCell ref="G1:I1"/>
    <mergeCell ref="J1:K1"/>
    <mergeCell ref="G3:G4"/>
    <mergeCell ref="H3:H4"/>
    <mergeCell ref="I3:I4"/>
    <mergeCell ref="J3:J4"/>
    <mergeCell ref="K3:K4"/>
    <mergeCell ref="G7:I8"/>
    <mergeCell ref="J7:J8"/>
    <mergeCell ref="G10:J11"/>
  </mergeCells>
  <phoneticPr fontId="0" type="noConversion"/>
  <hyperlinks>
    <hyperlink ref="J35:J36" r:id="rId1" display="CALCULO RC" xr:uid="{00000000-0004-0000-0300-000000000000}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topLeftCell="A7" workbookViewId="0">
      <selection activeCell="C47" sqref="C47"/>
    </sheetView>
  </sheetViews>
  <sheetFormatPr baseColWidth="10" defaultRowHeight="13" x14ac:dyDescent="0.3"/>
  <cols>
    <col min="1" max="1" width="25.1796875" style="1" bestFit="1" customWidth="1"/>
    <col min="2" max="2" width="25.1796875" style="1" customWidth="1"/>
    <col min="3" max="3" width="12.7265625" style="30" customWidth="1"/>
    <col min="4" max="4" width="17.26953125" bestFit="1" customWidth="1"/>
    <col min="5" max="5" width="6.81640625" customWidth="1"/>
    <col min="6" max="6" width="6.81640625" style="2" bestFit="1" customWidth="1"/>
    <col min="7" max="7" width="23.7265625" customWidth="1"/>
    <col min="8" max="8" width="20.81640625" customWidth="1"/>
    <col min="9" max="9" width="25" customWidth="1"/>
    <col min="10" max="10" width="21.1796875" customWidth="1"/>
    <col min="11" max="11" width="19" customWidth="1"/>
  </cols>
  <sheetData>
    <row r="1" spans="1:11" ht="40.9" customHeight="1" x14ac:dyDescent="0.25">
      <c r="A1" s="178" t="s">
        <v>0</v>
      </c>
      <c r="B1" s="153" t="s">
        <v>72</v>
      </c>
      <c r="C1" s="181" t="s">
        <v>74</v>
      </c>
      <c r="D1" s="155" t="s">
        <v>78</v>
      </c>
      <c r="F1"/>
      <c r="G1" s="183" t="s">
        <v>47</v>
      </c>
      <c r="H1" s="184"/>
      <c r="I1" s="185"/>
      <c r="J1" s="183" t="s">
        <v>48</v>
      </c>
      <c r="K1" s="185"/>
    </row>
    <row r="2" spans="1:11" ht="23.5" thickBot="1" x14ac:dyDescent="0.3">
      <c r="A2" s="179"/>
      <c r="B2" s="154"/>
      <c r="C2" s="182"/>
      <c r="D2" s="156"/>
      <c r="F2"/>
      <c r="G2" s="60" t="s">
        <v>49</v>
      </c>
      <c r="H2" s="60" t="s">
        <v>50</v>
      </c>
      <c r="I2" s="60" t="s">
        <v>51</v>
      </c>
      <c r="J2" s="61" t="s">
        <v>52</v>
      </c>
      <c r="K2" s="60" t="s">
        <v>53</v>
      </c>
    </row>
    <row r="3" spans="1:11" ht="14" x14ac:dyDescent="0.3">
      <c r="A3" s="42">
        <v>40</v>
      </c>
      <c r="B3" s="33">
        <f>PARAMETROS!B6</f>
        <v>2075.1396666666669</v>
      </c>
      <c r="C3" s="109"/>
      <c r="D3" s="43"/>
      <c r="F3"/>
      <c r="G3" s="186">
        <v>7</v>
      </c>
      <c r="H3" s="188">
        <v>1323</v>
      </c>
      <c r="I3" s="188">
        <v>4720.5</v>
      </c>
      <c r="J3" s="190">
        <v>1323</v>
      </c>
      <c r="K3" s="190">
        <v>4720.5</v>
      </c>
    </row>
    <row r="4" spans="1:11" ht="14" x14ac:dyDescent="0.3">
      <c r="A4" s="42">
        <v>39</v>
      </c>
      <c r="B4" s="33">
        <f>PRODUCT(B$3,A4)/A$3</f>
        <v>2023.2611750000003</v>
      </c>
      <c r="C4" s="34">
        <f>(A4/$A$3*7.5*5)/7*30*$C$46</f>
        <v>1248.8705357142856</v>
      </c>
      <c r="D4" s="43">
        <f>IF(B4&lt;C4,C4*$I$17%,B4*$I$17%)</f>
        <v>671.31805786500013</v>
      </c>
      <c r="F4"/>
      <c r="G4" s="187"/>
      <c r="H4" s="189"/>
      <c r="I4" s="189"/>
      <c r="J4" s="191"/>
      <c r="K4" s="191"/>
    </row>
    <row r="5" spans="1:11" ht="14" x14ac:dyDescent="0.3">
      <c r="A5" s="42">
        <v>38</v>
      </c>
      <c r="B5" s="33">
        <f>PRODUCT(B$3,A5)/A$3</f>
        <v>1971.3826833333337</v>
      </c>
      <c r="C5" s="34">
        <f t="shared" ref="C5:C42" si="0">(A5/$A$3*7.5*5)/7*30*$C$46</f>
        <v>1216.8482142857144</v>
      </c>
      <c r="D5" s="43">
        <f t="shared" ref="D5:D42" si="1">IF(B5&lt;C5,C5*$I$17%,B5*$I$17%)</f>
        <v>654.10477433000005</v>
      </c>
      <c r="F5"/>
      <c r="G5" s="62"/>
      <c r="H5" s="63"/>
      <c r="I5" s="63"/>
      <c r="J5" s="64"/>
      <c r="K5" s="63"/>
    </row>
    <row r="6" spans="1:11" ht="14.5" thickBot="1" x14ac:dyDescent="0.35">
      <c r="A6" s="42">
        <v>37</v>
      </c>
      <c r="B6" s="33">
        <f t="shared" ref="B6:B42" si="2">PRODUCT(B$3,A6)/A$3</f>
        <v>1919.5041916666669</v>
      </c>
      <c r="C6" s="34">
        <f t="shared" si="0"/>
        <v>1184.8258928571429</v>
      </c>
      <c r="D6" s="43">
        <f t="shared" si="1"/>
        <v>636.8914907950001</v>
      </c>
      <c r="F6"/>
      <c r="G6" s="62"/>
      <c r="H6" s="65"/>
      <c r="I6" s="63"/>
      <c r="J6" s="64"/>
      <c r="K6" s="63"/>
    </row>
    <row r="7" spans="1:11" ht="14.25" customHeight="1" x14ac:dyDescent="0.3">
      <c r="A7" s="42">
        <v>36</v>
      </c>
      <c r="B7" s="33">
        <f t="shared" si="2"/>
        <v>1867.6257000000001</v>
      </c>
      <c r="C7" s="34">
        <f t="shared" si="0"/>
        <v>1152.8035714285713</v>
      </c>
      <c r="D7" s="43">
        <f t="shared" si="1"/>
        <v>619.67820726000002</v>
      </c>
      <c r="F7"/>
      <c r="G7" s="133" t="s">
        <v>54</v>
      </c>
      <c r="H7" s="133"/>
      <c r="I7" s="134"/>
      <c r="J7" s="192">
        <v>0</v>
      </c>
      <c r="K7" s="63"/>
    </row>
    <row r="8" spans="1:11" ht="15.75" customHeight="1" thickBot="1" x14ac:dyDescent="0.35">
      <c r="A8" s="42">
        <v>35</v>
      </c>
      <c r="B8" s="33">
        <f t="shared" si="2"/>
        <v>1815.7472083333334</v>
      </c>
      <c r="C8" s="34">
        <f t="shared" si="0"/>
        <v>1120.78125</v>
      </c>
      <c r="D8" s="43">
        <f t="shared" si="1"/>
        <v>602.46492372500006</v>
      </c>
      <c r="F8"/>
      <c r="G8" s="133"/>
      <c r="H8" s="133"/>
      <c r="I8" s="134"/>
      <c r="J8" s="193"/>
      <c r="K8" s="63"/>
    </row>
    <row r="9" spans="1:11" ht="14.5" thickBot="1" x14ac:dyDescent="0.35">
      <c r="A9" s="42">
        <v>34</v>
      </c>
      <c r="B9" s="33">
        <f t="shared" si="2"/>
        <v>1763.8687166666671</v>
      </c>
      <c r="C9" s="34">
        <f t="shared" si="0"/>
        <v>1088.7589285714287</v>
      </c>
      <c r="D9" s="43">
        <f t="shared" si="1"/>
        <v>585.2516401900001</v>
      </c>
      <c r="F9"/>
      <c r="G9" s="66"/>
      <c r="H9" s="67"/>
      <c r="I9" s="68"/>
      <c r="J9" s="69"/>
      <c r="K9" s="63"/>
    </row>
    <row r="10" spans="1:11" ht="14.25" customHeight="1" x14ac:dyDescent="0.3">
      <c r="A10" s="42">
        <v>33</v>
      </c>
      <c r="B10" s="33">
        <f t="shared" si="2"/>
        <v>1711.9902250000002</v>
      </c>
      <c r="C10" s="34">
        <f t="shared" si="0"/>
        <v>1056.7366071428569</v>
      </c>
      <c r="D10" s="43">
        <f t="shared" si="1"/>
        <v>568.03835665500003</v>
      </c>
      <c r="F10"/>
      <c r="G10" s="137" t="s">
        <v>55</v>
      </c>
      <c r="H10" s="138"/>
      <c r="I10" s="138"/>
      <c r="J10" s="139"/>
      <c r="K10" s="63"/>
    </row>
    <row r="11" spans="1:11" ht="14.5" thickBot="1" x14ac:dyDescent="0.35">
      <c r="A11" s="42">
        <v>32</v>
      </c>
      <c r="B11" s="33">
        <f t="shared" si="2"/>
        <v>1660.1117333333336</v>
      </c>
      <c r="C11" s="34">
        <f t="shared" si="0"/>
        <v>1024.7142857142856</v>
      </c>
      <c r="D11" s="43">
        <f t="shared" si="1"/>
        <v>550.82507312000007</v>
      </c>
      <c r="F11"/>
      <c r="G11" s="140"/>
      <c r="H11" s="141"/>
      <c r="I11" s="141"/>
      <c r="J11" s="142"/>
      <c r="K11" s="63"/>
    </row>
    <row r="12" spans="1:11" ht="14.5" thickBot="1" x14ac:dyDescent="0.35">
      <c r="A12" s="42">
        <v>31</v>
      </c>
      <c r="B12" s="33">
        <f t="shared" si="2"/>
        <v>1608.2332416666668</v>
      </c>
      <c r="C12" s="34">
        <f t="shared" si="0"/>
        <v>992.69196428571422</v>
      </c>
      <c r="D12" s="43">
        <f t="shared" si="1"/>
        <v>533.611789585</v>
      </c>
      <c r="F12"/>
      <c r="G12" s="70"/>
      <c r="H12" s="81" t="s">
        <v>56</v>
      </c>
      <c r="I12" s="72" t="s">
        <v>57</v>
      </c>
      <c r="J12" s="103" t="s">
        <v>58</v>
      </c>
      <c r="K12" s="63"/>
    </row>
    <row r="13" spans="1:11" ht="14" x14ac:dyDescent="0.3">
      <c r="A13" s="42">
        <v>30</v>
      </c>
      <c r="B13" s="33">
        <f t="shared" si="2"/>
        <v>1556.3547500000002</v>
      </c>
      <c r="C13" s="34">
        <f t="shared" si="0"/>
        <v>960.66964285714289</v>
      </c>
      <c r="D13" s="43">
        <f t="shared" si="1"/>
        <v>516.39850605000004</v>
      </c>
      <c r="F13"/>
      <c r="G13" s="169" t="s">
        <v>59</v>
      </c>
      <c r="H13" s="145">
        <f>IF(J7&gt;=H3,J7,H3)</f>
        <v>1323</v>
      </c>
      <c r="I13" s="163">
        <v>24.18</v>
      </c>
      <c r="J13" s="129">
        <f>H13*I13%</f>
        <v>319.90139999999997</v>
      </c>
      <c r="K13" s="63"/>
    </row>
    <row r="14" spans="1:11" ht="14.5" thickBot="1" x14ac:dyDescent="0.35">
      <c r="A14" s="42">
        <v>29</v>
      </c>
      <c r="B14" s="33">
        <f t="shared" si="2"/>
        <v>1504.4762583333336</v>
      </c>
      <c r="C14" s="34">
        <f t="shared" si="0"/>
        <v>928.64732142857144</v>
      </c>
      <c r="D14" s="43">
        <f t="shared" si="1"/>
        <v>499.18522251500008</v>
      </c>
      <c r="F14"/>
      <c r="G14" s="170"/>
      <c r="H14" s="146"/>
      <c r="I14" s="164"/>
      <c r="J14" s="165"/>
      <c r="K14" s="63"/>
    </row>
    <row r="15" spans="1:11" ht="14" x14ac:dyDescent="0.3">
      <c r="A15" s="42">
        <v>28</v>
      </c>
      <c r="B15" s="33">
        <f t="shared" si="2"/>
        <v>1452.597766666667</v>
      </c>
      <c r="C15" s="34">
        <f t="shared" si="0"/>
        <v>896.625</v>
      </c>
      <c r="D15" s="43">
        <f t="shared" si="1"/>
        <v>481.97193898000006</v>
      </c>
      <c r="F15"/>
      <c r="G15" s="169" t="s">
        <v>60</v>
      </c>
      <c r="H15" s="145">
        <f>IF(J7&gt;=J3,J7,J3)</f>
        <v>1323</v>
      </c>
      <c r="I15" s="163">
        <v>9</v>
      </c>
      <c r="J15" s="129">
        <f>H15*I15%</f>
        <v>119.07</v>
      </c>
      <c r="K15" s="63"/>
    </row>
    <row r="16" spans="1:11" ht="14.5" thickBot="1" x14ac:dyDescent="0.35">
      <c r="A16" s="42">
        <v>27</v>
      </c>
      <c r="B16" s="33">
        <f t="shared" si="2"/>
        <v>1400.7192750000002</v>
      </c>
      <c r="C16" s="34">
        <f t="shared" si="0"/>
        <v>864.60267857142844</v>
      </c>
      <c r="D16" s="43">
        <f t="shared" si="1"/>
        <v>464.75865544500004</v>
      </c>
      <c r="F16"/>
      <c r="G16" s="170"/>
      <c r="H16" s="146"/>
      <c r="I16" s="164"/>
      <c r="J16" s="165"/>
      <c r="K16" s="63"/>
    </row>
    <row r="17" spans="1:11" ht="15" customHeight="1" thickBot="1" x14ac:dyDescent="0.35">
      <c r="A17" s="42">
        <v>26</v>
      </c>
      <c r="B17" s="33">
        <f t="shared" si="2"/>
        <v>1348.8407833333335</v>
      </c>
      <c r="C17" s="34">
        <f t="shared" si="0"/>
        <v>832.58035714285722</v>
      </c>
      <c r="D17" s="43">
        <f t="shared" si="1"/>
        <v>447.54537191000003</v>
      </c>
      <c r="F17"/>
      <c r="G17" s="131" t="s">
        <v>61</v>
      </c>
      <c r="H17" s="132"/>
      <c r="I17" s="74">
        <f>(I13+I15)</f>
        <v>33.18</v>
      </c>
      <c r="J17" s="75">
        <f>SUM(J13:J16)</f>
        <v>438.97139999999996</v>
      </c>
      <c r="K17" s="63"/>
    </row>
    <row r="18" spans="1:11" ht="14" x14ac:dyDescent="0.3">
      <c r="A18" s="42">
        <v>25</v>
      </c>
      <c r="B18" s="33">
        <f t="shared" si="2"/>
        <v>1296.9622916666669</v>
      </c>
      <c r="C18" s="34">
        <f t="shared" si="0"/>
        <v>800.55803571428567</v>
      </c>
      <c r="D18" s="43">
        <f t="shared" si="1"/>
        <v>430.33208837500007</v>
      </c>
      <c r="F18"/>
      <c r="G18" s="76"/>
      <c r="H18" s="77"/>
      <c r="I18" s="78"/>
      <c r="J18" s="79"/>
      <c r="K18" s="63"/>
    </row>
    <row r="19" spans="1:11" ht="14.25" customHeight="1" x14ac:dyDescent="0.3">
      <c r="A19" s="42">
        <v>24</v>
      </c>
      <c r="B19" s="33">
        <f t="shared" si="2"/>
        <v>1245.0838000000001</v>
      </c>
      <c r="C19" s="34">
        <f t="shared" si="0"/>
        <v>768.53571428571433</v>
      </c>
      <c r="D19" s="43">
        <f t="shared" si="1"/>
        <v>413.11880484</v>
      </c>
      <c r="F19"/>
      <c r="G19" s="166" t="s">
        <v>73</v>
      </c>
      <c r="H19" s="166"/>
      <c r="I19" s="166"/>
      <c r="J19" s="166"/>
      <c r="K19" s="166"/>
    </row>
    <row r="20" spans="1:11" ht="14" x14ac:dyDescent="0.3">
      <c r="A20" s="42">
        <v>23</v>
      </c>
      <c r="B20" s="33">
        <f t="shared" si="2"/>
        <v>1193.2053083333335</v>
      </c>
      <c r="C20" s="34">
        <f t="shared" si="0"/>
        <v>736.51339285714278</v>
      </c>
      <c r="D20" s="43">
        <f t="shared" si="1"/>
        <v>395.90552130500004</v>
      </c>
      <c r="F20"/>
      <c r="G20" s="166"/>
      <c r="H20" s="166"/>
      <c r="I20" s="166"/>
      <c r="J20" s="166"/>
      <c r="K20" s="166"/>
    </row>
    <row r="21" spans="1:11" ht="14.5" thickBot="1" x14ac:dyDescent="0.35">
      <c r="A21" s="42">
        <v>22</v>
      </c>
      <c r="B21" s="33">
        <f t="shared" si="2"/>
        <v>1141.3268166666669</v>
      </c>
      <c r="C21" s="34">
        <f t="shared" si="0"/>
        <v>704.49107142857144</v>
      </c>
      <c r="D21" s="43">
        <f t="shared" si="1"/>
        <v>378.69223777000008</v>
      </c>
      <c r="F21"/>
      <c r="G21" s="62"/>
      <c r="H21" s="65"/>
      <c r="I21" s="63"/>
      <c r="J21" s="64"/>
      <c r="K21" s="63"/>
    </row>
    <row r="22" spans="1:11" ht="14.25" customHeight="1" x14ac:dyDescent="0.3">
      <c r="A22" s="42">
        <v>21</v>
      </c>
      <c r="B22" s="33">
        <f t="shared" si="2"/>
        <v>1089.4483250000001</v>
      </c>
      <c r="C22" s="34">
        <f t="shared" si="0"/>
        <v>672.46875</v>
      </c>
      <c r="D22" s="43">
        <f t="shared" si="1"/>
        <v>361.478954235</v>
      </c>
      <c r="F22"/>
      <c r="G22" s="133" t="s">
        <v>63</v>
      </c>
      <c r="H22" s="133"/>
      <c r="I22" s="134"/>
      <c r="J22" s="195">
        <v>0</v>
      </c>
      <c r="K22" s="63"/>
    </row>
    <row r="23" spans="1:11" ht="14.5" thickBot="1" x14ac:dyDescent="0.35">
      <c r="A23" s="42">
        <v>20</v>
      </c>
      <c r="B23" s="33">
        <f t="shared" si="2"/>
        <v>1037.5698333333335</v>
      </c>
      <c r="C23" s="34">
        <f t="shared" si="0"/>
        <v>640.44642857142844</v>
      </c>
      <c r="D23" s="43">
        <f t="shared" si="1"/>
        <v>344.26567070000004</v>
      </c>
      <c r="F23"/>
      <c r="G23" s="133"/>
      <c r="H23" s="133"/>
      <c r="I23" s="134"/>
      <c r="J23" s="196"/>
      <c r="K23" s="63"/>
    </row>
    <row r="24" spans="1:11" ht="14.5" thickBot="1" x14ac:dyDescent="0.35">
      <c r="A24" s="42">
        <v>19</v>
      </c>
      <c r="B24" s="33">
        <f t="shared" si="2"/>
        <v>985.69134166666686</v>
      </c>
      <c r="C24" s="34">
        <f t="shared" si="0"/>
        <v>608.42410714285722</v>
      </c>
      <c r="D24" s="43">
        <f t="shared" si="1"/>
        <v>327.05238716500003</v>
      </c>
      <c r="F24"/>
      <c r="G24" s="62"/>
      <c r="H24" s="65"/>
      <c r="I24" s="63"/>
      <c r="J24" s="64"/>
      <c r="K24" s="63"/>
    </row>
    <row r="25" spans="1:11" ht="14.25" customHeight="1" x14ac:dyDescent="0.3">
      <c r="A25" s="42">
        <v>18</v>
      </c>
      <c r="B25" s="33">
        <f t="shared" si="2"/>
        <v>933.81285000000003</v>
      </c>
      <c r="C25" s="34">
        <f t="shared" si="0"/>
        <v>576.40178571428567</v>
      </c>
      <c r="D25" s="43">
        <f t="shared" si="1"/>
        <v>309.83910363000001</v>
      </c>
      <c r="F25"/>
      <c r="G25" s="133" t="s">
        <v>64</v>
      </c>
      <c r="H25" s="133"/>
      <c r="I25" s="134"/>
      <c r="J25" s="192">
        <v>0</v>
      </c>
      <c r="K25" s="63"/>
    </row>
    <row r="26" spans="1:11" ht="14.5" thickBot="1" x14ac:dyDescent="0.35">
      <c r="A26" s="42">
        <v>17</v>
      </c>
      <c r="B26" s="33">
        <f t="shared" si="2"/>
        <v>881.93435833333353</v>
      </c>
      <c r="C26" s="34">
        <f t="shared" si="0"/>
        <v>544.37946428571433</v>
      </c>
      <c r="D26" s="43">
        <f t="shared" si="1"/>
        <v>292.62582009500005</v>
      </c>
      <c r="F26"/>
      <c r="G26" s="133"/>
      <c r="H26" s="133"/>
      <c r="I26" s="134"/>
      <c r="J26" s="193"/>
      <c r="K26" s="63"/>
    </row>
    <row r="27" spans="1:11" ht="14.5" thickBot="1" x14ac:dyDescent="0.35">
      <c r="A27" s="42">
        <v>16</v>
      </c>
      <c r="B27" s="33">
        <f t="shared" si="2"/>
        <v>830.05586666666682</v>
      </c>
      <c r="C27" s="34">
        <f t="shared" si="0"/>
        <v>512.35714285714278</v>
      </c>
      <c r="D27" s="43">
        <f t="shared" si="1"/>
        <v>275.41253656000004</v>
      </c>
      <c r="F27"/>
      <c r="G27" s="62"/>
      <c r="H27" s="65"/>
      <c r="I27" s="63"/>
      <c r="J27" s="64"/>
      <c r="K27" s="63"/>
    </row>
    <row r="28" spans="1:11" ht="14.25" customHeight="1" x14ac:dyDescent="0.3">
      <c r="A28" s="42">
        <v>15</v>
      </c>
      <c r="B28" s="33">
        <f t="shared" si="2"/>
        <v>778.1773750000001</v>
      </c>
      <c r="C28" s="34">
        <f t="shared" si="0"/>
        <v>480.33482142857144</v>
      </c>
      <c r="D28" s="43">
        <f t="shared" si="1"/>
        <v>258.19925302500002</v>
      </c>
      <c r="F28"/>
      <c r="G28" s="137" t="s">
        <v>65</v>
      </c>
      <c r="H28" s="138"/>
      <c r="I28" s="138"/>
      <c r="J28" s="139"/>
      <c r="K28" s="63"/>
    </row>
    <row r="29" spans="1:11" ht="14.5" thickBot="1" x14ac:dyDescent="0.35">
      <c r="A29" s="42">
        <v>14</v>
      </c>
      <c r="B29" s="33">
        <f t="shared" si="2"/>
        <v>726.29888333333349</v>
      </c>
      <c r="C29" s="34">
        <f t="shared" si="0"/>
        <v>448.3125</v>
      </c>
      <c r="D29" s="43">
        <f t="shared" si="1"/>
        <v>240.98596949000003</v>
      </c>
      <c r="F29"/>
      <c r="G29" s="140"/>
      <c r="H29" s="141"/>
      <c r="I29" s="141"/>
      <c r="J29" s="142"/>
      <c r="K29" s="63"/>
    </row>
    <row r="30" spans="1:11" ht="14.5" thickBot="1" x14ac:dyDescent="0.35">
      <c r="A30" s="42">
        <v>13</v>
      </c>
      <c r="B30" s="33">
        <f t="shared" si="2"/>
        <v>674.42039166666677</v>
      </c>
      <c r="C30" s="34">
        <f t="shared" si="0"/>
        <v>416.29017857142861</v>
      </c>
      <c r="D30" s="43">
        <f t="shared" si="1"/>
        <v>223.77268595500001</v>
      </c>
      <c r="F30"/>
      <c r="G30" s="80" t="s">
        <v>66</v>
      </c>
      <c r="H30" s="81" t="s">
        <v>56</v>
      </c>
      <c r="I30" s="72" t="s">
        <v>67</v>
      </c>
      <c r="J30" s="73" t="s">
        <v>58</v>
      </c>
      <c r="K30" s="63"/>
    </row>
    <row r="31" spans="1:11" ht="14" x14ac:dyDescent="0.3">
      <c r="A31" s="42">
        <v>12</v>
      </c>
      <c r="B31" s="33">
        <f t="shared" si="2"/>
        <v>622.54190000000006</v>
      </c>
      <c r="C31" s="34">
        <f t="shared" si="0"/>
        <v>384.26785714285717</v>
      </c>
      <c r="D31" s="43">
        <f t="shared" si="1"/>
        <v>206.55940242</v>
      </c>
      <c r="F31"/>
      <c r="G31" s="194">
        <f>(J22/40*7.5*5)/7*30*$C$46</f>
        <v>0</v>
      </c>
      <c r="H31" s="161">
        <f>IF(J25&lt;G31,G31,J25)</f>
        <v>0</v>
      </c>
      <c r="I31" s="163">
        <v>33.18</v>
      </c>
      <c r="J31" s="129">
        <f>H31*I31%</f>
        <v>0</v>
      </c>
      <c r="K31" s="63"/>
    </row>
    <row r="32" spans="1:11" ht="14.5" thickBot="1" x14ac:dyDescent="0.35">
      <c r="A32" s="42">
        <v>11</v>
      </c>
      <c r="B32" s="33">
        <f t="shared" si="2"/>
        <v>570.66340833333345</v>
      </c>
      <c r="C32" s="34">
        <f t="shared" si="0"/>
        <v>352.24553571428572</v>
      </c>
      <c r="D32" s="43">
        <f t="shared" si="1"/>
        <v>189.34611888500004</v>
      </c>
      <c r="F32"/>
      <c r="G32" s="160"/>
      <c r="H32" s="162"/>
      <c r="I32" s="164"/>
      <c r="J32" s="165"/>
      <c r="K32" s="63"/>
    </row>
    <row r="33" spans="1:11" ht="15" customHeight="1" thickBot="1" x14ac:dyDescent="0.35">
      <c r="A33" s="42">
        <v>10</v>
      </c>
      <c r="B33" s="33">
        <f t="shared" si="2"/>
        <v>518.78491666666673</v>
      </c>
      <c r="C33" s="34">
        <f t="shared" si="0"/>
        <v>320.22321428571422</v>
      </c>
      <c r="D33" s="43">
        <f t="shared" si="1"/>
        <v>172.13283535000002</v>
      </c>
      <c r="F33"/>
      <c r="G33" s="173" t="s">
        <v>68</v>
      </c>
      <c r="H33" s="174"/>
      <c r="I33" s="175"/>
      <c r="J33" s="75">
        <f>SUM(J31)</f>
        <v>0</v>
      </c>
      <c r="K33" s="63"/>
    </row>
    <row r="34" spans="1:11" ht="14" x14ac:dyDescent="0.3">
      <c r="A34" s="42">
        <v>9</v>
      </c>
      <c r="B34" s="33">
        <f t="shared" si="2"/>
        <v>466.90642500000001</v>
      </c>
      <c r="C34" s="34">
        <f t="shared" si="0"/>
        <v>288.20089285714283</v>
      </c>
      <c r="D34" s="43">
        <f t="shared" si="1"/>
        <v>154.91955181500001</v>
      </c>
      <c r="F34"/>
      <c r="G34" s="62"/>
      <c r="H34" s="65"/>
      <c r="I34" s="63"/>
      <c r="J34" s="64"/>
      <c r="K34" s="63"/>
    </row>
    <row r="35" spans="1:11" ht="14.25" customHeight="1" x14ac:dyDescent="0.3">
      <c r="A35" s="42">
        <v>8</v>
      </c>
      <c r="B35" s="33">
        <f t="shared" si="2"/>
        <v>415.02793333333341</v>
      </c>
      <c r="C35" s="34">
        <f t="shared" si="0"/>
        <v>256.17857142857139</v>
      </c>
      <c r="D35" s="43">
        <f t="shared" si="1"/>
        <v>137.70626828000002</v>
      </c>
      <c r="F35" s="13"/>
      <c r="G35" s="180" t="s">
        <v>69</v>
      </c>
      <c r="H35" s="180"/>
      <c r="I35" s="180"/>
      <c r="J35" s="152" t="s">
        <v>70</v>
      </c>
      <c r="K35" s="104"/>
    </row>
    <row r="36" spans="1:11" ht="14" x14ac:dyDescent="0.3">
      <c r="A36" s="42">
        <v>7</v>
      </c>
      <c r="B36" s="33">
        <f t="shared" si="2"/>
        <v>363.14944166666675</v>
      </c>
      <c r="C36" s="34">
        <f t="shared" si="0"/>
        <v>224.15625</v>
      </c>
      <c r="D36" s="43">
        <f t="shared" si="1"/>
        <v>120.49298474500002</v>
      </c>
      <c r="F36"/>
      <c r="G36" s="180"/>
      <c r="H36" s="180"/>
      <c r="I36" s="180"/>
      <c r="J36" s="152"/>
      <c r="K36" s="104"/>
    </row>
    <row r="37" spans="1:11" ht="14" x14ac:dyDescent="0.3">
      <c r="A37" s="42">
        <v>6</v>
      </c>
      <c r="B37" s="33">
        <f t="shared" si="2"/>
        <v>311.27095000000003</v>
      </c>
      <c r="C37" s="34">
        <f t="shared" si="0"/>
        <v>192.13392857142858</v>
      </c>
      <c r="D37" s="43">
        <f t="shared" si="1"/>
        <v>103.27970121</v>
      </c>
      <c r="F37"/>
    </row>
    <row r="38" spans="1:11" ht="14" x14ac:dyDescent="0.3">
      <c r="A38" s="42">
        <v>5</v>
      </c>
      <c r="B38" s="33">
        <f t="shared" si="2"/>
        <v>259.39245833333337</v>
      </c>
      <c r="C38" s="34">
        <f t="shared" si="0"/>
        <v>160.11160714285711</v>
      </c>
      <c r="D38" s="43">
        <f t="shared" si="1"/>
        <v>86.066417675000011</v>
      </c>
      <c r="F38"/>
    </row>
    <row r="39" spans="1:11" ht="14" x14ac:dyDescent="0.3">
      <c r="A39" s="42">
        <v>4</v>
      </c>
      <c r="B39" s="33">
        <f t="shared" si="2"/>
        <v>207.5139666666667</v>
      </c>
      <c r="C39" s="34">
        <f t="shared" si="0"/>
        <v>128.08928571428569</v>
      </c>
      <c r="D39" s="43">
        <f t="shared" si="1"/>
        <v>68.853134140000009</v>
      </c>
      <c r="F39"/>
    </row>
    <row r="40" spans="1:11" ht="14" x14ac:dyDescent="0.3">
      <c r="A40" s="42">
        <v>3</v>
      </c>
      <c r="B40" s="33">
        <f t="shared" si="2"/>
        <v>155.63547500000001</v>
      </c>
      <c r="C40" s="34">
        <f t="shared" si="0"/>
        <v>96.066964285714292</v>
      </c>
      <c r="D40" s="43">
        <f t="shared" si="1"/>
        <v>51.639850604999999</v>
      </c>
      <c r="F40"/>
    </row>
    <row r="41" spans="1:11" ht="14" x14ac:dyDescent="0.3">
      <c r="A41" s="42">
        <v>2</v>
      </c>
      <c r="B41" s="33">
        <f t="shared" si="2"/>
        <v>103.75698333333335</v>
      </c>
      <c r="C41" s="34">
        <f t="shared" si="0"/>
        <v>64.044642857142847</v>
      </c>
      <c r="D41" s="43">
        <f t="shared" si="1"/>
        <v>34.426567070000004</v>
      </c>
      <c r="F41"/>
    </row>
    <row r="42" spans="1:11" ht="14" x14ac:dyDescent="0.3">
      <c r="A42" s="42">
        <v>1</v>
      </c>
      <c r="B42" s="44">
        <f t="shared" si="2"/>
        <v>51.878491666666676</v>
      </c>
      <c r="C42" s="108">
        <f t="shared" si="0"/>
        <v>32.022321428571423</v>
      </c>
      <c r="D42" s="45">
        <f t="shared" si="1"/>
        <v>17.213283535000002</v>
      </c>
      <c r="F42"/>
    </row>
    <row r="45" spans="1:11" ht="13.5" thickBot="1" x14ac:dyDescent="0.35"/>
    <row r="46" spans="1:11" s="58" customFormat="1" ht="28.5" thickBot="1" x14ac:dyDescent="0.3">
      <c r="A46" s="57"/>
      <c r="B46" s="52" t="s">
        <v>43</v>
      </c>
      <c r="C46" s="53">
        <v>7.97</v>
      </c>
      <c r="F46" s="59"/>
    </row>
  </sheetData>
  <sheetProtection algorithmName="SHA-512" hashValue="sxawCUFdGjzwIpd3ScSzbTqUfPvjVQO2T3pxCmlX2WyTQiVQanvBvzrRk1R0Rlt0sn+52Pl1d2wXotUEO/vwZQ==" saltValue="6KzJP/zdIe3DWtmJDinMsA==" spinCount="100000" sheet="1" objects="1" scenarios="1"/>
  <protectedRanges>
    <protectedRange sqref="J35" name="CALCULO RC_2_1"/>
    <protectedRange sqref="J25" name="RET TP_2_1"/>
    <protectedRange sqref="J22" name="DED_2_1"/>
    <protectedRange sqref="J7" name="RET TC_2_1"/>
  </protectedRanges>
  <mergeCells count="36">
    <mergeCell ref="A1:A2"/>
    <mergeCell ref="B1:B2"/>
    <mergeCell ref="C1:C2"/>
    <mergeCell ref="D1:D2"/>
    <mergeCell ref="G1:I1"/>
    <mergeCell ref="J1:K1"/>
    <mergeCell ref="G3:G4"/>
    <mergeCell ref="H3:H4"/>
    <mergeCell ref="I3:I4"/>
    <mergeCell ref="J3:J4"/>
    <mergeCell ref="K3:K4"/>
    <mergeCell ref="G7:I8"/>
    <mergeCell ref="J7:J8"/>
    <mergeCell ref="G10:J11"/>
    <mergeCell ref="G13:G14"/>
    <mergeCell ref="H13:H14"/>
    <mergeCell ref="I13:I14"/>
    <mergeCell ref="J13:J14"/>
    <mergeCell ref="G15:G16"/>
    <mergeCell ref="H15:H16"/>
    <mergeCell ref="I15:I16"/>
    <mergeCell ref="J15:J16"/>
    <mergeCell ref="G17:H17"/>
    <mergeCell ref="G19:K20"/>
    <mergeCell ref="G22:I23"/>
    <mergeCell ref="J22:J23"/>
    <mergeCell ref="G25:I26"/>
    <mergeCell ref="J25:J26"/>
    <mergeCell ref="G33:I33"/>
    <mergeCell ref="G35:I36"/>
    <mergeCell ref="J35:J36"/>
    <mergeCell ref="G28:J29"/>
    <mergeCell ref="G31:G32"/>
    <mergeCell ref="H31:H32"/>
    <mergeCell ref="I31:I32"/>
    <mergeCell ref="J31:J32"/>
  </mergeCells>
  <phoneticPr fontId="0" type="noConversion"/>
  <hyperlinks>
    <hyperlink ref="J35:J36" r:id="rId1" display="CALCULO RC" xr:uid="{00000000-0004-0000-0400-000000000000}"/>
  </hyperlink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8"/>
  <sheetViews>
    <sheetView tabSelected="1" topLeftCell="B1" workbookViewId="0">
      <selection activeCell="K11" sqref="K11"/>
    </sheetView>
  </sheetViews>
  <sheetFormatPr baseColWidth="10" defaultRowHeight="13" x14ac:dyDescent="0.3"/>
  <cols>
    <col min="1" max="1" width="25.1796875" style="1" bestFit="1" customWidth="1"/>
    <col min="2" max="2" width="35.08984375" style="1" customWidth="1"/>
    <col min="3" max="3" width="9" style="30" customWidth="1"/>
    <col min="4" max="4" width="17.26953125" bestFit="1" customWidth="1"/>
    <col min="5" max="5" width="6.81640625" customWidth="1"/>
    <col min="6" max="6" width="6.81640625" style="2" bestFit="1" customWidth="1"/>
    <col min="7" max="7" width="22" customWidth="1"/>
    <col min="8" max="8" width="24.453125" customWidth="1"/>
    <col min="9" max="9" width="25.1796875" customWidth="1"/>
    <col min="10" max="10" width="18.54296875" customWidth="1"/>
    <col min="11" max="11" width="19.453125" customWidth="1"/>
  </cols>
  <sheetData>
    <row r="1" spans="1:11" ht="40.9" customHeight="1" x14ac:dyDescent="0.25">
      <c r="A1" s="178" t="s">
        <v>0</v>
      </c>
      <c r="B1" s="153" t="s">
        <v>72</v>
      </c>
      <c r="C1" s="181" t="s">
        <v>74</v>
      </c>
      <c r="D1" s="155" t="s">
        <v>78</v>
      </c>
      <c r="F1"/>
      <c r="G1" s="183" t="s">
        <v>47</v>
      </c>
      <c r="H1" s="184"/>
      <c r="I1" s="185"/>
      <c r="J1" s="183" t="s">
        <v>48</v>
      </c>
      <c r="K1" s="185"/>
    </row>
    <row r="2" spans="1:11" ht="23.5" thickBot="1" x14ac:dyDescent="0.3">
      <c r="A2" s="197"/>
      <c r="B2" s="154"/>
      <c r="C2" s="158"/>
      <c r="D2" s="156"/>
      <c r="F2"/>
      <c r="G2" s="60" t="s">
        <v>49</v>
      </c>
      <c r="H2" s="60" t="s">
        <v>50</v>
      </c>
      <c r="I2" s="60" t="s">
        <v>51</v>
      </c>
      <c r="J2" s="61" t="s">
        <v>52</v>
      </c>
      <c r="K2" s="60" t="s">
        <v>53</v>
      </c>
    </row>
    <row r="3" spans="1:11" ht="14" x14ac:dyDescent="0.3">
      <c r="A3" s="111">
        <v>40</v>
      </c>
      <c r="B3" s="33">
        <f>PARAMETROS!G34</f>
        <v>1991.7636666666667</v>
      </c>
      <c r="C3" s="34"/>
      <c r="D3" s="43"/>
      <c r="F3"/>
      <c r="G3" s="186">
        <v>7</v>
      </c>
      <c r="H3" s="188">
        <v>1323</v>
      </c>
      <c r="I3" s="188">
        <v>4720.5</v>
      </c>
      <c r="J3" s="190">
        <v>1323</v>
      </c>
      <c r="K3" s="190">
        <v>4720.5</v>
      </c>
    </row>
    <row r="4" spans="1:11" ht="14" x14ac:dyDescent="0.3">
      <c r="A4" s="42">
        <v>39</v>
      </c>
      <c r="B4" s="33">
        <f>PRODUCT(B$3,A4)/A$3</f>
        <v>1941.9695749999998</v>
      </c>
      <c r="C4" s="34">
        <f>(A4/$A$3*7.5*5)/7*30*$C$46</f>
        <v>1248.8705357142856</v>
      </c>
      <c r="D4" s="43">
        <f>IF(B4&lt;C4,C4*$I$17%,B4*$I$17%)</f>
        <v>644.34550498499993</v>
      </c>
      <c r="F4"/>
      <c r="G4" s="187"/>
      <c r="H4" s="189"/>
      <c r="I4" s="189"/>
      <c r="J4" s="191"/>
      <c r="K4" s="191"/>
    </row>
    <row r="5" spans="1:11" ht="14" x14ac:dyDescent="0.3">
      <c r="A5" s="42">
        <v>38</v>
      </c>
      <c r="B5" s="33">
        <f>PRODUCT(B$3,A5)/A$3</f>
        <v>1892.1754833333332</v>
      </c>
      <c r="C5" s="34">
        <f t="shared" ref="C5:C42" si="0">(A5/$A$3*7.5*5)/7*30*$C$46</f>
        <v>1216.8482142857144</v>
      </c>
      <c r="D5" s="43">
        <f t="shared" ref="D5:D42" si="1">IF(B5&lt;C5,C5*$I$17%,B5*$I$17%)</f>
        <v>627.82382536999989</v>
      </c>
      <c r="F5"/>
      <c r="G5" s="62"/>
      <c r="H5" s="63"/>
      <c r="I5" s="63"/>
      <c r="J5" s="64"/>
      <c r="K5" s="63"/>
    </row>
    <row r="6" spans="1:11" ht="14.5" thickBot="1" x14ac:dyDescent="0.35">
      <c r="A6" s="42">
        <v>37</v>
      </c>
      <c r="B6" s="33">
        <f t="shared" ref="B6:B42" si="2">PRODUCT(B$3,A6)/A$3</f>
        <v>1842.3813916666666</v>
      </c>
      <c r="C6" s="34">
        <f t="shared" si="0"/>
        <v>1184.8258928571429</v>
      </c>
      <c r="D6" s="43">
        <f t="shared" si="1"/>
        <v>611.30214575499997</v>
      </c>
      <c r="F6"/>
      <c r="G6" s="62"/>
      <c r="H6" s="65"/>
      <c r="I6" s="63"/>
      <c r="J6" s="64"/>
      <c r="K6" s="63"/>
    </row>
    <row r="7" spans="1:11" ht="14" x14ac:dyDescent="0.3">
      <c r="A7" s="42">
        <v>36</v>
      </c>
      <c r="B7" s="33">
        <f t="shared" si="2"/>
        <v>1792.5872999999999</v>
      </c>
      <c r="C7" s="34">
        <f t="shared" si="0"/>
        <v>1152.8035714285713</v>
      </c>
      <c r="D7" s="43">
        <f t="shared" si="1"/>
        <v>594.78046613999993</v>
      </c>
      <c r="F7"/>
      <c r="G7" s="133" t="s">
        <v>54</v>
      </c>
      <c r="H7" s="133"/>
      <c r="I7" s="134"/>
      <c r="J7" s="192">
        <v>0</v>
      </c>
      <c r="K7" s="63"/>
    </row>
    <row r="8" spans="1:11" ht="14.5" thickBot="1" x14ac:dyDescent="0.35">
      <c r="A8" s="42">
        <v>35</v>
      </c>
      <c r="B8" s="33">
        <f t="shared" si="2"/>
        <v>1742.7932083333333</v>
      </c>
      <c r="C8" s="34">
        <f t="shared" si="0"/>
        <v>1120.78125</v>
      </c>
      <c r="D8" s="43">
        <f t="shared" si="1"/>
        <v>578.258786525</v>
      </c>
      <c r="F8"/>
      <c r="G8" s="133"/>
      <c r="H8" s="133"/>
      <c r="I8" s="134"/>
      <c r="J8" s="193"/>
      <c r="K8" s="63"/>
    </row>
    <row r="9" spans="1:11" ht="14.5" thickBot="1" x14ac:dyDescent="0.35">
      <c r="A9" s="42">
        <v>34</v>
      </c>
      <c r="B9" s="33">
        <f t="shared" si="2"/>
        <v>1692.9991166666666</v>
      </c>
      <c r="C9" s="34">
        <f t="shared" si="0"/>
        <v>1088.7589285714287</v>
      </c>
      <c r="D9" s="43">
        <f t="shared" si="1"/>
        <v>561.73710690999997</v>
      </c>
      <c r="F9"/>
      <c r="G9" s="66"/>
      <c r="H9" s="67"/>
      <c r="I9" s="68"/>
      <c r="J9" s="69"/>
      <c r="K9" s="63"/>
    </row>
    <row r="10" spans="1:11" ht="14" x14ac:dyDescent="0.3">
      <c r="A10" s="42">
        <v>33</v>
      </c>
      <c r="B10" s="33">
        <f t="shared" si="2"/>
        <v>1643.205025</v>
      </c>
      <c r="C10" s="34">
        <f t="shared" si="0"/>
        <v>1056.7366071428569</v>
      </c>
      <c r="D10" s="43">
        <f t="shared" si="1"/>
        <v>545.21542729499993</v>
      </c>
      <c r="F10"/>
      <c r="G10" s="137" t="s">
        <v>55</v>
      </c>
      <c r="H10" s="138"/>
      <c r="I10" s="138"/>
      <c r="J10" s="139"/>
      <c r="K10" s="63"/>
    </row>
    <row r="11" spans="1:11" ht="14.5" thickBot="1" x14ac:dyDescent="0.35">
      <c r="A11" s="42">
        <v>32</v>
      </c>
      <c r="B11" s="33">
        <f t="shared" si="2"/>
        <v>1593.4109333333333</v>
      </c>
      <c r="C11" s="34">
        <f t="shared" si="0"/>
        <v>1024.7142857142856</v>
      </c>
      <c r="D11" s="43">
        <f t="shared" si="1"/>
        <v>528.69374768</v>
      </c>
      <c r="F11"/>
      <c r="G11" s="140"/>
      <c r="H11" s="141"/>
      <c r="I11" s="141"/>
      <c r="J11" s="142"/>
      <c r="K11" s="63"/>
    </row>
    <row r="12" spans="1:11" ht="14.5" thickBot="1" x14ac:dyDescent="0.35">
      <c r="A12" s="42">
        <v>31</v>
      </c>
      <c r="B12" s="33">
        <f t="shared" si="2"/>
        <v>1543.6168416666667</v>
      </c>
      <c r="C12" s="34">
        <f t="shared" si="0"/>
        <v>992.69196428571422</v>
      </c>
      <c r="D12" s="43">
        <f t="shared" si="1"/>
        <v>512.17206806499996</v>
      </c>
      <c r="F12"/>
      <c r="G12" s="70"/>
      <c r="H12" s="81" t="s">
        <v>56</v>
      </c>
      <c r="I12" s="72" t="s">
        <v>57</v>
      </c>
      <c r="J12" s="103" t="s">
        <v>58</v>
      </c>
      <c r="K12" s="63"/>
    </row>
    <row r="13" spans="1:11" ht="14" x14ac:dyDescent="0.3">
      <c r="A13" s="42">
        <v>30</v>
      </c>
      <c r="B13" s="33">
        <f t="shared" si="2"/>
        <v>1493.82275</v>
      </c>
      <c r="C13" s="34">
        <f t="shared" si="0"/>
        <v>960.66964285714289</v>
      </c>
      <c r="D13" s="43">
        <f t="shared" si="1"/>
        <v>495.65038844999998</v>
      </c>
      <c r="F13"/>
      <c r="G13" s="169" t="s">
        <v>59</v>
      </c>
      <c r="H13" s="145">
        <f>IF(J7&gt;=H3,J7,H3)</f>
        <v>1323</v>
      </c>
      <c r="I13" s="163">
        <v>24.18</v>
      </c>
      <c r="J13" s="129">
        <f>H13*I13%</f>
        <v>319.90139999999997</v>
      </c>
      <c r="K13" s="63"/>
    </row>
    <row r="14" spans="1:11" ht="14.5" thickBot="1" x14ac:dyDescent="0.35">
      <c r="A14" s="42">
        <v>29</v>
      </c>
      <c r="B14" s="33">
        <f t="shared" si="2"/>
        <v>1444.0286583333334</v>
      </c>
      <c r="C14" s="34">
        <f t="shared" si="0"/>
        <v>928.64732142857144</v>
      </c>
      <c r="D14" s="43">
        <f t="shared" si="1"/>
        <v>479.128708835</v>
      </c>
      <c r="F14"/>
      <c r="G14" s="170"/>
      <c r="H14" s="146"/>
      <c r="I14" s="164"/>
      <c r="J14" s="165"/>
      <c r="K14" s="63"/>
    </row>
    <row r="15" spans="1:11" ht="14" x14ac:dyDescent="0.3">
      <c r="A15" s="42">
        <v>28</v>
      </c>
      <c r="B15" s="33">
        <f t="shared" si="2"/>
        <v>1394.2345666666668</v>
      </c>
      <c r="C15" s="34">
        <f t="shared" si="0"/>
        <v>896.625</v>
      </c>
      <c r="D15" s="43">
        <f t="shared" si="1"/>
        <v>462.60702922000002</v>
      </c>
      <c r="F15"/>
      <c r="G15" s="169" t="s">
        <v>60</v>
      </c>
      <c r="H15" s="145">
        <f>IF(J7&gt;=J3,J7,J3)</f>
        <v>1323</v>
      </c>
      <c r="I15" s="163">
        <v>9</v>
      </c>
      <c r="J15" s="129">
        <f>H15*I15%</f>
        <v>119.07</v>
      </c>
      <c r="K15" s="63"/>
    </row>
    <row r="16" spans="1:11" ht="14.5" thickBot="1" x14ac:dyDescent="0.35">
      <c r="A16" s="42">
        <v>27</v>
      </c>
      <c r="B16" s="33">
        <f t="shared" si="2"/>
        <v>1344.4404749999999</v>
      </c>
      <c r="C16" s="34">
        <f t="shared" si="0"/>
        <v>864.60267857142844</v>
      </c>
      <c r="D16" s="43">
        <f t="shared" si="1"/>
        <v>446.08534960499992</v>
      </c>
      <c r="F16"/>
      <c r="G16" s="170"/>
      <c r="H16" s="146"/>
      <c r="I16" s="164"/>
      <c r="J16" s="165"/>
      <c r="K16" s="63"/>
    </row>
    <row r="17" spans="1:11" ht="14.5" thickBot="1" x14ac:dyDescent="0.35">
      <c r="A17" s="42">
        <v>26</v>
      </c>
      <c r="B17" s="33">
        <f t="shared" si="2"/>
        <v>1294.6463833333332</v>
      </c>
      <c r="C17" s="34">
        <f t="shared" si="0"/>
        <v>832.58035714285722</v>
      </c>
      <c r="D17" s="43">
        <f t="shared" si="1"/>
        <v>429.56366998999994</v>
      </c>
      <c r="F17"/>
      <c r="G17" s="131" t="s">
        <v>61</v>
      </c>
      <c r="H17" s="132"/>
      <c r="I17" s="74">
        <f>(I13+I15)</f>
        <v>33.18</v>
      </c>
      <c r="J17" s="75">
        <f>SUM(J13:J16)</f>
        <v>438.97139999999996</v>
      </c>
      <c r="K17" s="63"/>
    </row>
    <row r="18" spans="1:11" ht="14" x14ac:dyDescent="0.3">
      <c r="A18" s="42">
        <v>25</v>
      </c>
      <c r="B18" s="33">
        <f t="shared" si="2"/>
        <v>1244.8522916666666</v>
      </c>
      <c r="C18" s="34">
        <f t="shared" si="0"/>
        <v>800.55803571428567</v>
      </c>
      <c r="D18" s="43">
        <f t="shared" si="1"/>
        <v>413.04199037499995</v>
      </c>
      <c r="F18"/>
      <c r="G18" s="76"/>
      <c r="H18" s="77"/>
      <c r="I18" s="78"/>
      <c r="J18" s="79"/>
      <c r="K18" s="63"/>
    </row>
    <row r="19" spans="1:11" ht="14" x14ac:dyDescent="0.3">
      <c r="A19" s="42">
        <v>24</v>
      </c>
      <c r="B19" s="33">
        <f t="shared" si="2"/>
        <v>1195.0581999999999</v>
      </c>
      <c r="C19" s="34">
        <f t="shared" si="0"/>
        <v>768.53571428571433</v>
      </c>
      <c r="D19" s="43">
        <f t="shared" si="1"/>
        <v>396.52031075999997</v>
      </c>
      <c r="F19"/>
      <c r="G19" s="166" t="s">
        <v>73</v>
      </c>
      <c r="H19" s="166"/>
      <c r="I19" s="166"/>
      <c r="J19" s="166"/>
      <c r="K19" s="166"/>
    </row>
    <row r="20" spans="1:11" ht="14" x14ac:dyDescent="0.3">
      <c r="A20" s="42">
        <v>23</v>
      </c>
      <c r="B20" s="33">
        <f t="shared" si="2"/>
        <v>1145.2641083333333</v>
      </c>
      <c r="C20" s="34">
        <f t="shared" si="0"/>
        <v>736.51339285714278</v>
      </c>
      <c r="D20" s="43">
        <f t="shared" si="1"/>
        <v>379.99863114499999</v>
      </c>
      <c r="F20"/>
      <c r="G20" s="166"/>
      <c r="H20" s="166"/>
      <c r="I20" s="166"/>
      <c r="J20" s="166"/>
      <c r="K20" s="166"/>
    </row>
    <row r="21" spans="1:11" ht="14.5" thickBot="1" x14ac:dyDescent="0.35">
      <c r="A21" s="42">
        <v>22</v>
      </c>
      <c r="B21" s="33">
        <f t="shared" si="2"/>
        <v>1095.4700166666667</v>
      </c>
      <c r="C21" s="34">
        <f t="shared" si="0"/>
        <v>704.49107142857144</v>
      </c>
      <c r="D21" s="43">
        <f t="shared" si="1"/>
        <v>363.47695152999995</v>
      </c>
      <c r="F21"/>
      <c r="G21" s="62"/>
      <c r="H21" s="65"/>
      <c r="I21" s="63"/>
      <c r="J21" s="64"/>
      <c r="K21" s="63"/>
    </row>
    <row r="22" spans="1:11" ht="14" x14ac:dyDescent="0.3">
      <c r="A22" s="42">
        <v>21</v>
      </c>
      <c r="B22" s="33">
        <f t="shared" si="2"/>
        <v>1045.675925</v>
      </c>
      <c r="C22" s="34">
        <f t="shared" si="0"/>
        <v>672.46875</v>
      </c>
      <c r="D22" s="43">
        <f t="shared" si="1"/>
        <v>346.95527191499997</v>
      </c>
      <c r="F22"/>
      <c r="G22" s="133" t="s">
        <v>63</v>
      </c>
      <c r="H22" s="133"/>
      <c r="I22" s="134"/>
      <c r="J22" s="195">
        <v>0</v>
      </c>
      <c r="K22" s="63"/>
    </row>
    <row r="23" spans="1:11" ht="14.5" thickBot="1" x14ac:dyDescent="0.35">
      <c r="A23" s="42">
        <v>20</v>
      </c>
      <c r="B23" s="33">
        <f t="shared" si="2"/>
        <v>995.88183333333325</v>
      </c>
      <c r="C23" s="34">
        <f t="shared" si="0"/>
        <v>640.44642857142844</v>
      </c>
      <c r="D23" s="43">
        <f t="shared" si="1"/>
        <v>330.43359229999993</v>
      </c>
      <c r="F23"/>
      <c r="G23" s="133"/>
      <c r="H23" s="133"/>
      <c r="I23" s="134"/>
      <c r="J23" s="196"/>
      <c r="K23" s="63"/>
    </row>
    <row r="24" spans="1:11" ht="14.5" thickBot="1" x14ac:dyDescent="0.35">
      <c r="A24" s="42">
        <v>19</v>
      </c>
      <c r="B24" s="33">
        <f t="shared" si="2"/>
        <v>946.0877416666666</v>
      </c>
      <c r="C24" s="34">
        <f t="shared" si="0"/>
        <v>608.42410714285722</v>
      </c>
      <c r="D24" s="43">
        <f t="shared" si="1"/>
        <v>313.91191268499995</v>
      </c>
      <c r="F24"/>
      <c r="G24" s="62"/>
      <c r="H24" s="65"/>
      <c r="I24" s="63"/>
      <c r="J24" s="64"/>
      <c r="K24" s="63"/>
    </row>
    <row r="25" spans="1:11" ht="14" x14ac:dyDescent="0.3">
      <c r="A25" s="42">
        <v>18</v>
      </c>
      <c r="B25" s="33">
        <f t="shared" si="2"/>
        <v>896.29364999999996</v>
      </c>
      <c r="C25" s="34">
        <f t="shared" si="0"/>
        <v>576.40178571428567</v>
      </c>
      <c r="D25" s="43">
        <f t="shared" si="1"/>
        <v>297.39023306999997</v>
      </c>
      <c r="F25"/>
      <c r="G25" s="133" t="s">
        <v>64</v>
      </c>
      <c r="H25" s="133"/>
      <c r="I25" s="134"/>
      <c r="J25" s="192">
        <v>0</v>
      </c>
      <c r="K25" s="63"/>
    </row>
    <row r="26" spans="1:11" ht="14.5" thickBot="1" x14ac:dyDescent="0.35">
      <c r="A26" s="42">
        <v>17</v>
      </c>
      <c r="B26" s="33">
        <f t="shared" si="2"/>
        <v>846.49955833333331</v>
      </c>
      <c r="C26" s="34">
        <f t="shared" si="0"/>
        <v>544.37946428571433</v>
      </c>
      <c r="D26" s="43">
        <f t="shared" si="1"/>
        <v>280.86855345499998</v>
      </c>
      <c r="F26"/>
      <c r="G26" s="133"/>
      <c r="H26" s="133"/>
      <c r="I26" s="134"/>
      <c r="J26" s="193"/>
      <c r="K26" s="63"/>
    </row>
    <row r="27" spans="1:11" ht="14.5" thickBot="1" x14ac:dyDescent="0.35">
      <c r="A27" s="42">
        <v>16</v>
      </c>
      <c r="B27" s="33">
        <f t="shared" si="2"/>
        <v>796.70546666666667</v>
      </c>
      <c r="C27" s="34">
        <f t="shared" si="0"/>
        <v>512.35714285714278</v>
      </c>
      <c r="D27" s="43">
        <f t="shared" si="1"/>
        <v>264.34687384</v>
      </c>
      <c r="F27"/>
      <c r="G27" s="62"/>
      <c r="H27" s="65"/>
      <c r="I27" s="63"/>
      <c r="J27" s="64"/>
      <c r="K27" s="63"/>
    </row>
    <row r="28" spans="1:11" ht="14" x14ac:dyDescent="0.3">
      <c r="A28" s="42">
        <v>15</v>
      </c>
      <c r="B28" s="33">
        <f t="shared" si="2"/>
        <v>746.91137500000002</v>
      </c>
      <c r="C28" s="34">
        <f t="shared" si="0"/>
        <v>480.33482142857144</v>
      </c>
      <c r="D28" s="43">
        <f t="shared" si="1"/>
        <v>247.82519422499999</v>
      </c>
      <c r="F28"/>
      <c r="G28" s="137" t="s">
        <v>65</v>
      </c>
      <c r="H28" s="138"/>
      <c r="I28" s="138"/>
      <c r="J28" s="139"/>
      <c r="K28" s="63"/>
    </row>
    <row r="29" spans="1:11" ht="14.5" thickBot="1" x14ac:dyDescent="0.35">
      <c r="A29" s="42">
        <v>14</v>
      </c>
      <c r="B29" s="33">
        <f t="shared" si="2"/>
        <v>697.11728333333338</v>
      </c>
      <c r="C29" s="34">
        <f t="shared" si="0"/>
        <v>448.3125</v>
      </c>
      <c r="D29" s="43">
        <f t="shared" si="1"/>
        <v>231.30351461000001</v>
      </c>
      <c r="F29"/>
      <c r="G29" s="140"/>
      <c r="H29" s="141"/>
      <c r="I29" s="141"/>
      <c r="J29" s="142"/>
      <c r="K29" s="63"/>
    </row>
    <row r="30" spans="1:11" ht="14.5" thickBot="1" x14ac:dyDescent="0.35">
      <c r="A30" s="42">
        <v>13</v>
      </c>
      <c r="B30" s="33">
        <f t="shared" si="2"/>
        <v>647.32319166666662</v>
      </c>
      <c r="C30" s="34">
        <f t="shared" si="0"/>
        <v>416.29017857142861</v>
      </c>
      <c r="D30" s="43">
        <f t="shared" si="1"/>
        <v>214.78183499499997</v>
      </c>
      <c r="F30"/>
      <c r="G30" s="80" t="s">
        <v>66</v>
      </c>
      <c r="H30" s="81" t="s">
        <v>56</v>
      </c>
      <c r="I30" s="72" t="s">
        <v>67</v>
      </c>
      <c r="J30" s="73" t="s">
        <v>58</v>
      </c>
      <c r="K30" s="63"/>
    </row>
    <row r="31" spans="1:11" ht="14" x14ac:dyDescent="0.3">
      <c r="A31" s="42">
        <v>12</v>
      </c>
      <c r="B31" s="33">
        <f t="shared" si="2"/>
        <v>597.52909999999997</v>
      </c>
      <c r="C31" s="34">
        <f t="shared" si="0"/>
        <v>384.26785714285717</v>
      </c>
      <c r="D31" s="43">
        <f t="shared" si="1"/>
        <v>198.26015537999999</v>
      </c>
      <c r="F31"/>
      <c r="G31" s="194">
        <f>(J22/40*7.5*5)/7*30*$C$46</f>
        <v>0</v>
      </c>
      <c r="H31" s="161">
        <f>IF(J25&lt;G31,G31,J25)</f>
        <v>0</v>
      </c>
      <c r="I31" s="163">
        <v>33.18</v>
      </c>
      <c r="J31" s="129">
        <f>H31*I31%</f>
        <v>0</v>
      </c>
      <c r="K31" s="63"/>
    </row>
    <row r="32" spans="1:11" ht="14.5" thickBot="1" x14ac:dyDescent="0.35">
      <c r="A32" s="42">
        <v>11</v>
      </c>
      <c r="B32" s="33">
        <f t="shared" si="2"/>
        <v>547.73500833333333</v>
      </c>
      <c r="C32" s="34">
        <f t="shared" si="0"/>
        <v>352.24553571428572</v>
      </c>
      <c r="D32" s="43">
        <f t="shared" si="1"/>
        <v>181.73847576499998</v>
      </c>
      <c r="F32"/>
      <c r="G32" s="160"/>
      <c r="H32" s="162"/>
      <c r="I32" s="164"/>
      <c r="J32" s="165"/>
      <c r="K32" s="63"/>
    </row>
    <row r="33" spans="1:11" ht="14.5" thickBot="1" x14ac:dyDescent="0.35">
      <c r="A33" s="42">
        <v>10</v>
      </c>
      <c r="B33" s="33">
        <f t="shared" si="2"/>
        <v>497.94091666666662</v>
      </c>
      <c r="C33" s="34">
        <f t="shared" si="0"/>
        <v>320.22321428571422</v>
      </c>
      <c r="D33" s="43">
        <f t="shared" si="1"/>
        <v>165.21679614999996</v>
      </c>
      <c r="F33"/>
      <c r="G33" s="173" t="s">
        <v>68</v>
      </c>
      <c r="H33" s="174"/>
      <c r="I33" s="175"/>
      <c r="J33" s="75">
        <f>SUM(J31)</f>
        <v>0</v>
      </c>
      <c r="K33" s="63"/>
    </row>
    <row r="34" spans="1:11" ht="14" x14ac:dyDescent="0.3">
      <c r="A34" s="42">
        <v>9</v>
      </c>
      <c r="B34" s="33">
        <f t="shared" si="2"/>
        <v>448.14682499999998</v>
      </c>
      <c r="C34" s="34">
        <f t="shared" si="0"/>
        <v>288.20089285714283</v>
      </c>
      <c r="D34" s="43">
        <f t="shared" si="1"/>
        <v>148.69511653499998</v>
      </c>
      <c r="F34"/>
      <c r="G34" s="62"/>
      <c r="H34" s="65"/>
      <c r="I34" s="63"/>
      <c r="J34" s="64"/>
      <c r="K34" s="63"/>
    </row>
    <row r="35" spans="1:11" ht="14" x14ac:dyDescent="0.3">
      <c r="A35" s="42">
        <v>8</v>
      </c>
      <c r="B35" s="33">
        <f t="shared" si="2"/>
        <v>398.35273333333333</v>
      </c>
      <c r="C35" s="34">
        <f t="shared" si="0"/>
        <v>256.17857142857139</v>
      </c>
      <c r="D35" s="43">
        <f t="shared" si="1"/>
        <v>132.17343692</v>
      </c>
      <c r="F35" s="13"/>
      <c r="G35" s="180" t="s">
        <v>69</v>
      </c>
      <c r="H35" s="180"/>
      <c r="I35" s="180"/>
      <c r="J35" s="152" t="s">
        <v>70</v>
      </c>
      <c r="K35" s="104"/>
    </row>
    <row r="36" spans="1:11" ht="14" x14ac:dyDescent="0.3">
      <c r="A36" s="42">
        <v>7</v>
      </c>
      <c r="B36" s="33">
        <f t="shared" si="2"/>
        <v>348.55864166666669</v>
      </c>
      <c r="C36" s="34">
        <f t="shared" si="0"/>
        <v>224.15625</v>
      </c>
      <c r="D36" s="43">
        <f t="shared" si="1"/>
        <v>115.651757305</v>
      </c>
      <c r="F36"/>
      <c r="G36" s="180"/>
      <c r="H36" s="180"/>
      <c r="I36" s="180"/>
      <c r="J36" s="152"/>
      <c r="K36" s="104"/>
    </row>
    <row r="37" spans="1:11" ht="14" x14ac:dyDescent="0.3">
      <c r="A37" s="42">
        <v>6</v>
      </c>
      <c r="B37" s="33">
        <f t="shared" si="2"/>
        <v>298.76454999999999</v>
      </c>
      <c r="C37" s="34">
        <f t="shared" si="0"/>
        <v>192.13392857142858</v>
      </c>
      <c r="D37" s="43">
        <f t="shared" si="1"/>
        <v>99.130077689999993</v>
      </c>
      <c r="F37"/>
    </row>
    <row r="38" spans="1:11" ht="14" x14ac:dyDescent="0.3">
      <c r="A38" s="42">
        <v>5</v>
      </c>
      <c r="B38" s="33">
        <f t="shared" si="2"/>
        <v>248.97045833333331</v>
      </c>
      <c r="C38" s="34">
        <f t="shared" si="0"/>
        <v>160.11160714285711</v>
      </c>
      <c r="D38" s="43">
        <f t="shared" si="1"/>
        <v>82.608398074999982</v>
      </c>
      <c r="F38"/>
    </row>
    <row r="39" spans="1:11" ht="14" x14ac:dyDescent="0.3">
      <c r="A39" s="42">
        <v>4</v>
      </c>
      <c r="B39" s="33">
        <f t="shared" si="2"/>
        <v>199.17636666666667</v>
      </c>
      <c r="C39" s="34">
        <f t="shared" si="0"/>
        <v>128.08928571428569</v>
      </c>
      <c r="D39" s="43">
        <f t="shared" si="1"/>
        <v>66.08671846</v>
      </c>
      <c r="F39"/>
    </row>
    <row r="40" spans="1:11" ht="14" x14ac:dyDescent="0.3">
      <c r="A40" s="42">
        <v>3</v>
      </c>
      <c r="B40" s="33">
        <f t="shared" si="2"/>
        <v>149.38227499999999</v>
      </c>
      <c r="C40" s="34">
        <f t="shared" si="0"/>
        <v>96.066964285714292</v>
      </c>
      <c r="D40" s="43">
        <f t="shared" si="1"/>
        <v>49.565038844999997</v>
      </c>
      <c r="F40"/>
    </row>
    <row r="41" spans="1:11" ht="14" x14ac:dyDescent="0.3">
      <c r="A41" s="42">
        <v>2</v>
      </c>
      <c r="B41" s="33">
        <f t="shared" si="2"/>
        <v>99.588183333333333</v>
      </c>
      <c r="C41" s="34">
        <f t="shared" si="0"/>
        <v>64.044642857142847</v>
      </c>
      <c r="D41" s="43">
        <f t="shared" si="1"/>
        <v>33.04335923</v>
      </c>
      <c r="F41"/>
    </row>
    <row r="42" spans="1:11" ht="14.5" thickBot="1" x14ac:dyDescent="0.35">
      <c r="A42" s="87">
        <v>1</v>
      </c>
      <c r="B42" s="36">
        <f t="shared" si="2"/>
        <v>49.794091666666667</v>
      </c>
      <c r="C42" s="34">
        <f t="shared" si="0"/>
        <v>32.022321428571423</v>
      </c>
      <c r="D42" s="105">
        <f t="shared" si="1"/>
        <v>16.521679615</v>
      </c>
      <c r="F42"/>
    </row>
    <row r="43" spans="1:11" x14ac:dyDescent="0.3">
      <c r="C43" s="110"/>
    </row>
    <row r="44" spans="1:11" hidden="1" x14ac:dyDescent="0.3"/>
    <row r="45" spans="1:11" ht="13.5" hidden="1" thickBot="1" x14ac:dyDescent="0.35"/>
    <row r="46" spans="1:11" s="58" customFormat="1" ht="28.5" hidden="1" thickBot="1" x14ac:dyDescent="0.3">
      <c r="A46" s="57"/>
      <c r="B46" s="52" t="s">
        <v>43</v>
      </c>
      <c r="C46" s="53">
        <v>7.97</v>
      </c>
      <c r="F46" s="59"/>
    </row>
    <row r="47" spans="1:11" hidden="1" x14ac:dyDescent="0.3"/>
    <row r="48" spans="1:11" hidden="1" x14ac:dyDescent="0.3"/>
  </sheetData>
  <sheetProtection algorithmName="SHA-512" hashValue="bIBX6bW/RyE7O3YP8d7O5zw4SCUH+ihIPQmPbHRBeFoG3vd8RMdIHCEap578Q4ocXQf4ID0NB5i7Fj7jPUwF3w==" saltValue="VuqBZx6kChTzTlEE91qF0g==" spinCount="100000" sheet="1" objects="1" scenarios="1"/>
  <protectedRanges>
    <protectedRange sqref="J35" name="CALCULO RC_2_1"/>
    <protectedRange sqref="J25" name="RET TP_2_1"/>
    <protectedRange sqref="J22" name="DED_2_1"/>
    <protectedRange sqref="J7" name="RET TC_2_1"/>
  </protectedRanges>
  <mergeCells count="36">
    <mergeCell ref="A1:A2"/>
    <mergeCell ref="B1:B2"/>
    <mergeCell ref="C1:C2"/>
    <mergeCell ref="D1:D2"/>
    <mergeCell ref="G1:I1"/>
    <mergeCell ref="J1:K1"/>
    <mergeCell ref="G3:G4"/>
    <mergeCell ref="H3:H4"/>
    <mergeCell ref="I3:I4"/>
    <mergeCell ref="J3:J4"/>
    <mergeCell ref="K3:K4"/>
    <mergeCell ref="G7:I8"/>
    <mergeCell ref="J7:J8"/>
    <mergeCell ref="G10:J11"/>
    <mergeCell ref="G13:G14"/>
    <mergeCell ref="H13:H14"/>
    <mergeCell ref="I13:I14"/>
    <mergeCell ref="J13:J14"/>
    <mergeCell ref="G15:G16"/>
    <mergeCell ref="H15:H16"/>
    <mergeCell ref="I15:I16"/>
    <mergeCell ref="J15:J16"/>
    <mergeCell ref="G17:H17"/>
    <mergeCell ref="G19:K20"/>
    <mergeCell ref="G22:I23"/>
    <mergeCell ref="J22:J23"/>
    <mergeCell ref="G25:I26"/>
    <mergeCell ref="J25:J26"/>
    <mergeCell ref="G33:I33"/>
    <mergeCell ref="G35:I36"/>
    <mergeCell ref="J35:J36"/>
    <mergeCell ref="G28:J29"/>
    <mergeCell ref="G31:G32"/>
    <mergeCell ref="H31:H32"/>
    <mergeCell ref="I31:I32"/>
    <mergeCell ref="J31:J32"/>
  </mergeCells>
  <phoneticPr fontId="7" type="noConversion"/>
  <hyperlinks>
    <hyperlink ref="J35:J36" r:id="rId1" display="CALCULO RC" xr:uid="{00000000-0004-0000-0500-000000000000}"/>
  </hyperlinks>
  <pageMargins left="0.75" right="0.75" top="1" bottom="1" header="0" footer="0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D430-0A61-4D8E-B6B7-A816C72752D7}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8"/>
  <sheetViews>
    <sheetView topLeftCell="A19" workbookViewId="0">
      <selection activeCell="D22" sqref="D22"/>
    </sheetView>
  </sheetViews>
  <sheetFormatPr baseColWidth="10" defaultRowHeight="12.5" x14ac:dyDescent="0.25"/>
  <cols>
    <col min="1" max="1" width="25.1796875" bestFit="1" customWidth="1"/>
    <col min="2" max="2" width="17.54296875" style="2" bestFit="1" customWidth="1"/>
    <col min="3" max="3" width="16.7265625" style="2" bestFit="1" customWidth="1"/>
    <col min="4" max="4" width="16.7265625" customWidth="1"/>
    <col min="6" max="6" width="24.1796875" bestFit="1" customWidth="1"/>
    <col min="7" max="7" width="11.453125" style="2" customWidth="1"/>
  </cols>
  <sheetData>
    <row r="1" spans="1:8" ht="13" x14ac:dyDescent="0.3">
      <c r="A1" s="15" t="s">
        <v>2</v>
      </c>
      <c r="B1" s="49" t="s">
        <v>26</v>
      </c>
      <c r="C1" s="47" t="s">
        <v>20</v>
      </c>
      <c r="F1" s="198" t="s">
        <v>3</v>
      </c>
      <c r="G1" s="198"/>
    </row>
    <row r="2" spans="1:8" x14ac:dyDescent="0.25">
      <c r="A2" s="21" t="s">
        <v>24</v>
      </c>
      <c r="B2" s="25">
        <f>B15</f>
        <v>1502.5856633333335</v>
      </c>
      <c r="C2" s="26">
        <f>C15</f>
        <v>4105.9814455000005</v>
      </c>
      <c r="F2" s="3" t="s">
        <v>4</v>
      </c>
      <c r="G2" s="4">
        <v>702.92</v>
      </c>
    </row>
    <row r="3" spans="1:8" ht="13" x14ac:dyDescent="0.3">
      <c r="A3" s="16" t="s">
        <v>1</v>
      </c>
      <c r="B3" s="24">
        <f>B25</f>
        <v>1502.5856633333335</v>
      </c>
      <c r="C3" s="26">
        <f>C25</f>
        <v>3267.1216141666673</v>
      </c>
      <c r="F3" s="3" t="s">
        <v>14</v>
      </c>
      <c r="G3" s="4">
        <v>357.81</v>
      </c>
    </row>
    <row r="4" spans="1:8" ht="13" x14ac:dyDescent="0.3">
      <c r="A4" s="16" t="s">
        <v>9</v>
      </c>
      <c r="B4" s="24">
        <f>B35</f>
        <v>1196.0013816666667</v>
      </c>
      <c r="C4" s="26">
        <f>C35</f>
        <v>2672.5054803883336</v>
      </c>
      <c r="F4" s="3" t="s">
        <v>15</v>
      </c>
      <c r="G4" s="4">
        <v>659.06</v>
      </c>
    </row>
    <row r="5" spans="1:8" ht="13.5" thickBot="1" x14ac:dyDescent="0.35">
      <c r="A5" s="16" t="s">
        <v>11</v>
      </c>
      <c r="B5" s="24">
        <f>G20</f>
        <v>2416.2473333333332</v>
      </c>
      <c r="C5" s="26"/>
      <c r="F5" s="5" t="s">
        <v>7</v>
      </c>
      <c r="G5" s="6">
        <f>SUM(G2:G4)/30*12/12</f>
        <v>57.326333333333331</v>
      </c>
      <c r="H5" t="s">
        <v>45</v>
      </c>
    </row>
    <row r="6" spans="1:8" ht="13.5" thickTop="1" x14ac:dyDescent="0.3">
      <c r="A6" s="16" t="s">
        <v>5</v>
      </c>
      <c r="B6" s="24">
        <f>G9</f>
        <v>2075.1396666666669</v>
      </c>
      <c r="C6" s="26"/>
      <c r="F6" s="27" t="s">
        <v>39</v>
      </c>
      <c r="G6" s="46">
        <v>74.760000000000005</v>
      </c>
    </row>
    <row r="7" spans="1:8" ht="13" x14ac:dyDescent="0.3">
      <c r="A7" s="16" t="s">
        <v>32</v>
      </c>
      <c r="B7" s="24">
        <f>G34</f>
        <v>1991.7636666666667</v>
      </c>
      <c r="C7" s="26"/>
      <c r="F7" s="27"/>
      <c r="G7" s="28"/>
    </row>
    <row r="8" spans="1:8" ht="13" x14ac:dyDescent="0.3">
      <c r="A8" s="19" t="s">
        <v>27</v>
      </c>
      <c r="B8" s="48" t="s">
        <v>18</v>
      </c>
      <c r="C8" s="48" t="s">
        <v>21</v>
      </c>
      <c r="D8" s="112" t="s">
        <v>77</v>
      </c>
      <c r="F8" s="27" t="s">
        <v>6</v>
      </c>
      <c r="G8" s="4">
        <f>(696.51+G3+G4)*2/12</f>
        <v>285.56333333333333</v>
      </c>
    </row>
    <row r="9" spans="1:8" ht="13" x14ac:dyDescent="0.3">
      <c r="A9" t="s">
        <v>37</v>
      </c>
      <c r="B9" s="2">
        <v>1300.8800000000001</v>
      </c>
      <c r="C9" s="2">
        <v>1300.8800000000001</v>
      </c>
      <c r="F9" s="7" t="s">
        <v>8</v>
      </c>
      <c r="G9" s="8">
        <f>SUM(G2:G5)+(G6/6)+G8</f>
        <v>2075.1396666666669</v>
      </c>
      <c r="H9" s="2"/>
    </row>
    <row r="10" spans="1:8" x14ac:dyDescent="0.25">
      <c r="A10" t="s">
        <v>28</v>
      </c>
      <c r="C10" s="2">
        <v>1099.3800000000001</v>
      </c>
    </row>
    <row r="11" spans="1:8" x14ac:dyDescent="0.25">
      <c r="A11" t="s">
        <v>23</v>
      </c>
      <c r="C11" s="2">
        <f>(1021.9)+(1021.9*2%)</f>
        <v>1042.338</v>
      </c>
    </row>
    <row r="12" spans="1:8" ht="13" x14ac:dyDescent="0.3">
      <c r="A12" t="s">
        <v>16</v>
      </c>
      <c r="B12" s="2">
        <f>(795/6)</f>
        <v>132.5</v>
      </c>
      <c r="C12" s="2">
        <f>(726.35+C10+C11)/6</f>
        <v>478.01133333333337</v>
      </c>
      <c r="D12" s="2"/>
      <c r="F12" s="14" t="s">
        <v>10</v>
      </c>
      <c r="G12" s="14"/>
    </row>
    <row r="13" spans="1:8" x14ac:dyDescent="0.25">
      <c r="D13" s="2"/>
      <c r="F13" s="9" t="s">
        <v>4</v>
      </c>
      <c r="G13" s="10">
        <v>844.58</v>
      </c>
    </row>
    <row r="14" spans="1:8" ht="13" thickBot="1" x14ac:dyDescent="0.3">
      <c r="A14" s="17" t="s">
        <v>17</v>
      </c>
      <c r="B14" s="18">
        <f>B9/30*12/12</f>
        <v>43.362666666666676</v>
      </c>
      <c r="C14" s="18">
        <f>SUM(C9:C11)/30*12/12</f>
        <v>114.75326666666666</v>
      </c>
      <c r="D14" s="23" t="s">
        <v>44</v>
      </c>
      <c r="F14" s="9" t="s">
        <v>12</v>
      </c>
      <c r="G14" s="10">
        <v>463.11</v>
      </c>
    </row>
    <row r="15" spans="1:8" ht="13.5" thickTop="1" x14ac:dyDescent="0.3">
      <c r="A15" t="s">
        <v>34</v>
      </c>
      <c r="B15" s="22">
        <f>SUM(B9:B14)*1.0175</f>
        <v>1502.5856633333335</v>
      </c>
      <c r="C15" s="22">
        <f>(SUM(C9:C11)+C12+C14)*1.0175</f>
        <v>4105.9814455000005</v>
      </c>
      <c r="D15" s="22"/>
      <c r="F15" s="9" t="s">
        <v>13</v>
      </c>
      <c r="G15" s="10">
        <v>708.33</v>
      </c>
    </row>
    <row r="16" spans="1:8" x14ac:dyDescent="0.25">
      <c r="F16" s="9" t="s">
        <v>7</v>
      </c>
      <c r="G16" s="10">
        <f>SUM(G13:G15)/30*12/12</f>
        <v>67.200666666666663</v>
      </c>
      <c r="H16" t="s">
        <v>45</v>
      </c>
    </row>
    <row r="17" spans="1:8" x14ac:dyDescent="0.25">
      <c r="F17" s="9" t="s">
        <v>39</v>
      </c>
      <c r="G17" s="10">
        <v>96.76</v>
      </c>
    </row>
    <row r="18" spans="1:8" ht="13" x14ac:dyDescent="0.3">
      <c r="A18" s="113" t="s">
        <v>19</v>
      </c>
      <c r="B18" s="114" t="s">
        <v>18</v>
      </c>
      <c r="C18" s="114" t="s">
        <v>21</v>
      </c>
      <c r="D18" s="115"/>
      <c r="F18" s="9"/>
      <c r="G18" s="29"/>
    </row>
    <row r="19" spans="1:8" x14ac:dyDescent="0.25">
      <c r="A19" s="116" t="s">
        <v>37</v>
      </c>
      <c r="B19" s="117">
        <f>B9</f>
        <v>1300.8800000000001</v>
      </c>
      <c r="C19" s="117">
        <v>1300.8800000000001</v>
      </c>
      <c r="D19" s="116"/>
      <c r="F19" s="9" t="s">
        <v>6</v>
      </c>
      <c r="G19" s="10">
        <f>(729.96+G14+G15)/6</f>
        <v>316.90000000000003</v>
      </c>
    </row>
    <row r="20" spans="1:8" ht="13" x14ac:dyDescent="0.3">
      <c r="A20" s="116" t="s">
        <v>22</v>
      </c>
      <c r="B20" s="117"/>
      <c r="C20" s="117">
        <v>933.5</v>
      </c>
      <c r="D20" s="116"/>
      <c r="F20" s="11" t="s">
        <v>8</v>
      </c>
      <c r="G20" s="12">
        <f>SUM(G13:G16)+(G17/6)+G19</f>
        <v>2416.2473333333332</v>
      </c>
      <c r="H20" s="2"/>
    </row>
    <row r="21" spans="1:8" x14ac:dyDescent="0.25">
      <c r="A21" s="116" t="s">
        <v>23</v>
      </c>
      <c r="B21" s="117"/>
      <c r="C21" s="117">
        <v>510.58</v>
      </c>
      <c r="D21" s="118" t="s">
        <v>79</v>
      </c>
      <c r="G21"/>
    </row>
    <row r="22" spans="1:8" x14ac:dyDescent="0.25">
      <c r="A22" s="116" t="s">
        <v>16</v>
      </c>
      <c r="B22" s="117">
        <f>B12</f>
        <v>132.5</v>
      </c>
      <c r="C22" s="117">
        <f>(802.75+C20+C21)/6</f>
        <v>374.47166666666664</v>
      </c>
      <c r="D22" s="117"/>
      <c r="G22"/>
    </row>
    <row r="23" spans="1:8" x14ac:dyDescent="0.25">
      <c r="A23" s="116"/>
      <c r="B23" s="117"/>
      <c r="C23" s="117"/>
      <c r="D23" s="117"/>
      <c r="G23"/>
    </row>
    <row r="24" spans="1:8" ht="13" thickBot="1" x14ac:dyDescent="0.3">
      <c r="A24" s="119" t="s">
        <v>17</v>
      </c>
      <c r="B24" s="120">
        <f>B19/30*12/12</f>
        <v>43.362666666666676</v>
      </c>
      <c r="C24" s="120">
        <f>SUM(C19:C21)/30*12/12</f>
        <v>91.498666666666665</v>
      </c>
      <c r="D24" s="121" t="s">
        <v>45</v>
      </c>
    </row>
    <row r="25" spans="1:8" ht="13.5" thickTop="1" x14ac:dyDescent="0.3">
      <c r="A25" s="116" t="s">
        <v>35</v>
      </c>
      <c r="B25" s="122">
        <f>SUM(B19:B24)*1.0175</f>
        <v>1502.5856633333335</v>
      </c>
      <c r="C25" s="122">
        <f>(SUM(C19:C21)+C22+C24)*1.0175</f>
        <v>3267.1216141666673</v>
      </c>
      <c r="D25" s="122"/>
    </row>
    <row r="26" spans="1:8" ht="13" x14ac:dyDescent="0.3">
      <c r="F26" s="14" t="s">
        <v>31</v>
      </c>
      <c r="G26" s="14"/>
    </row>
    <row r="27" spans="1:8" ht="13" x14ac:dyDescent="0.3">
      <c r="A27" s="19"/>
      <c r="B27" s="48"/>
      <c r="C27" s="48"/>
      <c r="D27" s="20"/>
      <c r="F27" s="9" t="s">
        <v>4</v>
      </c>
      <c r="G27" s="10">
        <v>702.92</v>
      </c>
    </row>
    <row r="28" spans="1:8" ht="13" x14ac:dyDescent="0.3">
      <c r="A28" s="19" t="s">
        <v>25</v>
      </c>
      <c r="B28" s="48" t="s">
        <v>18</v>
      </c>
      <c r="C28" s="48" t="s">
        <v>21</v>
      </c>
      <c r="D28" s="112" t="s">
        <v>77</v>
      </c>
      <c r="F28" s="9" t="s">
        <v>14</v>
      </c>
      <c r="G28" s="10">
        <v>357.81</v>
      </c>
    </row>
    <row r="29" spans="1:8" x14ac:dyDescent="0.25">
      <c r="A29" t="s">
        <v>38</v>
      </c>
      <c r="B29" s="50">
        <v>1017.79</v>
      </c>
      <c r="F29" s="9" t="s">
        <v>33</v>
      </c>
      <c r="G29" s="10">
        <v>589.58000000000004</v>
      </c>
    </row>
    <row r="30" spans="1:8" x14ac:dyDescent="0.25">
      <c r="A30" t="s">
        <v>22</v>
      </c>
      <c r="F30" s="9" t="s">
        <v>7</v>
      </c>
      <c r="G30" s="10">
        <f>SUM(G27:G29)/30*12/12</f>
        <v>55.010333333333328</v>
      </c>
      <c r="H30" t="s">
        <v>45</v>
      </c>
    </row>
    <row r="31" spans="1:8" x14ac:dyDescent="0.25">
      <c r="A31" t="s">
        <v>23</v>
      </c>
      <c r="F31" s="9" t="s">
        <v>39</v>
      </c>
      <c r="G31" s="10">
        <v>74.760000000000005</v>
      </c>
    </row>
    <row r="32" spans="1:8" x14ac:dyDescent="0.25">
      <c r="A32" t="s">
        <v>16</v>
      </c>
      <c r="B32" s="2">
        <f>742.29/6</f>
        <v>123.71499999999999</v>
      </c>
      <c r="D32" s="2"/>
      <c r="F32" s="9"/>
      <c r="G32" s="29"/>
    </row>
    <row r="33" spans="1:7" x14ac:dyDescent="0.25">
      <c r="D33" s="2"/>
      <c r="F33" s="9" t="s">
        <v>6</v>
      </c>
      <c r="G33" s="10">
        <f>(696.51+G28+G29)/6</f>
        <v>273.98333333333335</v>
      </c>
    </row>
    <row r="34" spans="1:7" ht="13.5" thickBot="1" x14ac:dyDescent="0.35">
      <c r="A34" s="17" t="s">
        <v>17</v>
      </c>
      <c r="B34" s="18">
        <f>B29/30*12/12</f>
        <v>33.926333333333332</v>
      </c>
      <c r="C34" s="18"/>
      <c r="D34" s="2" t="s">
        <v>45</v>
      </c>
      <c r="F34" s="11" t="s">
        <v>8</v>
      </c>
      <c r="G34" s="12">
        <f>SUM(G27:G30)+(G31/6)+G33</f>
        <v>1991.7636666666667</v>
      </c>
    </row>
    <row r="35" spans="1:7" ht="13.5" thickTop="1" x14ac:dyDescent="0.3">
      <c r="A35" t="s">
        <v>36</v>
      </c>
      <c r="B35" s="22">
        <f>SUM(B29:B34)*1.0175</f>
        <v>1196.0013816666667</v>
      </c>
      <c r="C35" s="22">
        <f>PRODUCT(C25*0.8)*1.0225</f>
        <v>2672.5054803883336</v>
      </c>
      <c r="D35" s="23"/>
      <c r="G35"/>
    </row>
    <row r="36" spans="1:7" ht="13" x14ac:dyDescent="0.3">
      <c r="D36" s="22"/>
      <c r="G36"/>
    </row>
    <row r="37" spans="1:7" x14ac:dyDescent="0.25">
      <c r="G37"/>
    </row>
    <row r="38" spans="1:7" x14ac:dyDescent="0.25">
      <c r="G38"/>
    </row>
  </sheetData>
  <mergeCells count="1">
    <mergeCell ref="F1:G1"/>
  </mergeCells>
  <phoneticPr fontId="0" type="noConversion"/>
  <pageMargins left="0.74803149606299213" right="0.31496062992125984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DOCTORES</vt:lpstr>
      <vt:lpstr>(A) LICENCIADOS-INGEN-ARQU</vt:lpstr>
      <vt:lpstr>(B) DIPLO MADOS</vt:lpstr>
      <vt:lpstr>(C) TECNICO ESPEC LAB FP2 </vt:lpstr>
      <vt:lpstr>(D) AUX ADM-LAB (FP1- GR ESCOL)</vt:lpstr>
      <vt:lpstr>(D) AUX. SERVICIOS</vt:lpstr>
      <vt:lpstr>Hoja1</vt:lpstr>
      <vt:lpstr>PARAMETROS</vt:lpstr>
      <vt:lpstr>RETRIBUCION</vt:lpstr>
    </vt:vector>
  </TitlesOfParts>
  <Company>oscar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Fuentes Garcia, Susana</cp:lastModifiedBy>
  <cp:lastPrinted>2015-01-16T11:58:13Z</cp:lastPrinted>
  <dcterms:created xsi:type="dcterms:W3CDTF">2003-11-11T19:24:53Z</dcterms:created>
  <dcterms:modified xsi:type="dcterms:W3CDTF">2024-04-17T09:24:37Z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1648575215</vt:i4>
  </property>
  <property fmtid="{D5CDD505-2E9C-101B-9397-08002B2CF9AE}" pid="3" name="_EmailSubject">
    <vt:lpwstr/>
  </property>
  <property fmtid="{D5CDD505-2E9C-101B-9397-08002B2CF9AE}" pid="4" name="_AuthorEmail">
    <vt:lpwstr>cristina.aguilar@umh.es</vt:lpwstr>
  </property>
  <property fmtid="{D5CDD505-2E9C-101B-9397-08002B2CF9AE}" pid="5" name="_AuthorEmailDisplayName">
    <vt:lpwstr>Aguilar Santos, Cristina</vt:lpwstr>
  </property>
  <property fmtid="{D5CDD505-2E9C-101B-9397-08002B2CF9AE}" pid="6" name="_PreviousAdHocReviewCycleID">
    <vt:i4>-1341627671</vt:i4>
  </property>
  <property fmtid="{D5CDD505-2E9C-101B-9397-08002B2CF9AE}" pid="7" name="_ReviewingToolsShownOnce">
    <vt:lpwstr/>
  </property>
</Properties>
</file>