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+General\ESTADISTICAS ISA\PRESUPUESTOS\PRESUPUESTOS 2024\Anexo Presupuesto I+D  01.01.24\TABLAS SALARIALES 2024\Actualización Salario Mínimo 16.04.24\"/>
    </mc:Choice>
  </mc:AlternateContent>
  <xr:revisionPtr revIDLastSave="0" documentId="13_ncr:1_{D31E107A-0077-4DA8-8B18-D5A5E9F554B5}" xr6:coauthVersionLast="47" xr6:coauthVersionMax="47" xr10:uidLastSave="{00000000-0000-0000-0000-000000000000}"/>
  <bookViews>
    <workbookView xWindow="-110" yWindow="-110" windowWidth="19420" windowHeight="10420" tabRatio="859" firstSheet="3" activeTab="7" xr2:uid="{00000000-000D-0000-FFFF-FFFF00000000}"/>
  </bookViews>
  <sheets>
    <sheet name="INVESTIGADOR SENIOR" sheetId="7" r:id="rId1"/>
    <sheet name="INVESTIGADOR JUNIOR" sheetId="13" r:id="rId2"/>
    <sheet name="INVEST. EN FORMACIÓN-PRÁCTICAS" sheetId="14" state="hidden" r:id="rId3"/>
    <sheet name="TITULADOS SUPERIORES I" sheetId="12" r:id="rId4"/>
    <sheet name="TITULADOS SUPERIORES II" sheetId="11" r:id="rId5"/>
    <sheet name="TITULADOS DE GRADO MEDIO" sheetId="5" r:id="rId6"/>
    <sheet name="ESPECIALISTAS TECNICOS" sheetId="4" r:id="rId7"/>
    <sheet name="AUXILIARES" sheetId="2" r:id="rId8"/>
    <sheet name="PARAMETROS" sheetId="3" state="hidden" r:id="rId9"/>
  </sheets>
  <definedNames>
    <definedName name="_xlnm.Print_Area" localSheetId="7">AUXILIARES!$A$2:$D$39</definedName>
    <definedName name="_xlnm.Print_Area" localSheetId="2">'INVEST. EN FORMACIÓN-PRÁCTICAS'!$A$2:$C$10</definedName>
    <definedName name="_xlnm.Print_Area" localSheetId="1">'INVESTIGADOR JUNIOR'!$A$2:$G$40</definedName>
    <definedName name="_xlnm.Print_Area" localSheetId="0">'INVESTIGADOR SENIOR'!$A$2:$G$40</definedName>
    <definedName name="_xlnm.Print_Area" localSheetId="5">'TITULADOS DE GRADO MEDIO'!$A$2:$G$40</definedName>
    <definedName name="_xlnm.Print_Area" localSheetId="3">'TITULADOS SUPERIORES I'!$A$2:$G$40</definedName>
    <definedName name="_xlnm.Print_Area" localSheetId="4">'TITULADOS SUPERIORES II'!$A$2:$G$40</definedName>
    <definedName name="RETRIBUCION">#REF!</definedName>
    <definedName name="_xlnm.Print_Titles" localSheetId="7">AUXILIARES!$2:$2</definedName>
    <definedName name="_xlnm.Print_Titles" localSheetId="2">'INVEST. EN FORMACIÓN-PRÁCTICAS'!$2:$3</definedName>
    <definedName name="_xlnm.Print_Titles" localSheetId="1">'INVESTIGADOR JUNIOR'!$2:$3</definedName>
    <definedName name="_xlnm.Print_Titles" localSheetId="0">'INVESTIGADOR SENIOR'!$2:$3</definedName>
    <definedName name="_xlnm.Print_Titles" localSheetId="5">'TITULADOS DE GRADO MEDIO'!$2:$3</definedName>
    <definedName name="_xlnm.Print_Titles" localSheetId="3">'TITULADOS SUPERIORES I'!$2:$3</definedName>
    <definedName name="_xlnm.Print_Titles" localSheetId="4">'TITULADOS SUPERIORES II'!$2:$3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3" l="1"/>
  <c r="F33" i="3" s="1"/>
  <c r="F20" i="3"/>
  <c r="E62" i="3"/>
  <c r="E64" i="3"/>
  <c r="E63" i="3"/>
  <c r="E59" i="3"/>
  <c r="E58" i="3"/>
  <c r="D64" i="3"/>
  <c r="D63" i="3"/>
  <c r="D62" i="3"/>
  <c r="D59" i="3"/>
  <c r="D58" i="3"/>
  <c r="M11" i="14"/>
  <c r="O11" i="14" s="1"/>
  <c r="M9" i="14"/>
  <c r="O9" i="14" s="1"/>
  <c r="G9" i="14"/>
  <c r="N13" i="14"/>
  <c r="O13" i="14" l="1"/>
  <c r="B8" i="14"/>
  <c r="C8" i="14" s="1"/>
  <c r="B7" i="14"/>
  <c r="D7" i="14" s="1"/>
  <c r="B6" i="14"/>
  <c r="D6" i="14" s="1"/>
  <c r="B5" i="14"/>
  <c r="D5" i="14" s="1"/>
  <c r="D4" i="14"/>
  <c r="C4" i="14"/>
  <c r="C5" i="14" l="1"/>
  <c r="C6" i="14"/>
  <c r="C7" i="14"/>
  <c r="D8" i="14"/>
  <c r="B10" i="14"/>
  <c r="D10" i="14" s="1"/>
  <c r="F32" i="2"/>
  <c r="F32" i="4"/>
  <c r="I32" i="5"/>
  <c r="I32" i="11"/>
  <c r="I32" i="12"/>
  <c r="I32" i="13"/>
  <c r="I32" i="7"/>
  <c r="C10" i="14" l="1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B14" i="3" l="1"/>
  <c r="B15" i="3" s="1"/>
  <c r="G22" i="14" l="1"/>
  <c r="I22" i="14" s="1"/>
  <c r="G11" i="14"/>
  <c r="G20" i="14"/>
  <c r="H24" i="14"/>
  <c r="H13" i="14" l="1"/>
  <c r="I11" i="14"/>
  <c r="J11" i="14" s="1"/>
  <c r="I9" i="14"/>
  <c r="J9" i="14" s="1"/>
  <c r="J13" i="14" l="1"/>
  <c r="I13" i="14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" i="2"/>
  <c r="H18" i="4" l="1"/>
  <c r="H18" i="2"/>
  <c r="G32" i="2"/>
  <c r="I32" i="2" s="1"/>
  <c r="I34" i="2" s="1"/>
  <c r="G16" i="2"/>
  <c r="I16" i="2" s="1"/>
  <c r="G14" i="2"/>
  <c r="I14" i="2" s="1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" i="4"/>
  <c r="G32" i="4"/>
  <c r="I32" i="4" s="1"/>
  <c r="I34" i="4" s="1"/>
  <c r="G14" i="4"/>
  <c r="I14" i="4" s="1"/>
  <c r="G16" i="4"/>
  <c r="I16" i="4" s="1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5" i="5"/>
  <c r="J32" i="5"/>
  <c r="L32" i="5" s="1"/>
  <c r="L34" i="5" s="1"/>
  <c r="K18" i="5"/>
  <c r="J16" i="5"/>
  <c r="L16" i="5" s="1"/>
  <c r="J14" i="5"/>
  <c r="L14" i="5" s="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5" i="11"/>
  <c r="J32" i="11"/>
  <c r="L32" i="11" s="1"/>
  <c r="L34" i="11" s="1"/>
  <c r="K18" i="11"/>
  <c r="J16" i="11"/>
  <c r="L16" i="11" s="1"/>
  <c r="J14" i="11"/>
  <c r="L14" i="11" s="1"/>
  <c r="J32" i="12"/>
  <c r="L32" i="12" s="1"/>
  <c r="L34" i="12" s="1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5" i="12"/>
  <c r="K18" i="12"/>
  <c r="J16" i="12"/>
  <c r="L16" i="12" s="1"/>
  <c r="J14" i="12"/>
  <c r="L14" i="12" s="1"/>
  <c r="L18" i="12" l="1"/>
  <c r="L18" i="11"/>
  <c r="I18" i="2"/>
  <c r="I18" i="4"/>
  <c r="L18" i="5"/>
  <c r="J32" i="13"/>
  <c r="L32" i="13" s="1"/>
  <c r="L34" i="13" s="1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5" i="13"/>
  <c r="K18" i="13"/>
  <c r="J16" i="13"/>
  <c r="L16" i="13" s="1"/>
  <c r="J14" i="13"/>
  <c r="L14" i="13" s="1"/>
  <c r="L18" i="13" l="1"/>
  <c r="J32" i="7" l="1"/>
  <c r="L32" i="7" s="1"/>
  <c r="L34" i="7" l="1"/>
  <c r="K18" i="7" l="1"/>
  <c r="J16" i="7" l="1"/>
  <c r="L16" i="7" s="1"/>
  <c r="J14" i="7"/>
  <c r="L14" i="7" s="1"/>
  <c r="L18" i="7" l="1"/>
  <c r="F17" i="3"/>
  <c r="C49" i="3" l="1"/>
  <c r="C50" i="3" s="1"/>
  <c r="B49" i="3"/>
  <c r="C42" i="3"/>
  <c r="B42" i="3"/>
  <c r="C35" i="3"/>
  <c r="C36" i="3" s="1"/>
  <c r="B35" i="3"/>
  <c r="C21" i="3"/>
  <c r="C22" i="3" s="1"/>
  <c r="B21" i="3"/>
  <c r="B22" i="3" s="1"/>
  <c r="C14" i="3"/>
  <c r="C15" i="3" s="1"/>
  <c r="C28" i="3"/>
  <c r="C30" i="3" s="1"/>
  <c r="C4" i="3" s="1"/>
  <c r="B28" i="3"/>
  <c r="B30" i="3" s="1"/>
  <c r="B4" i="3" s="1"/>
  <c r="F29" i="3"/>
  <c r="C51" i="3" l="1"/>
  <c r="F21" i="3"/>
  <c r="C23" i="3"/>
  <c r="C24" i="3" s="1"/>
  <c r="B43" i="3"/>
  <c r="B44" i="3" s="1"/>
  <c r="C37" i="3"/>
  <c r="C43" i="3"/>
  <c r="C44" i="3" s="1"/>
  <c r="B36" i="3"/>
  <c r="B37" i="3" s="1"/>
  <c r="B50" i="3"/>
  <c r="B51" i="3" s="1"/>
  <c r="B16" i="3"/>
  <c r="C16" i="3"/>
  <c r="B23" i="3"/>
  <c r="B24" i="3" s="1"/>
  <c r="B8" i="3" l="1"/>
  <c r="F34" i="3"/>
  <c r="B9" i="3"/>
  <c r="B3" i="2" s="1"/>
  <c r="F22" i="3"/>
  <c r="C6" i="3"/>
  <c r="F4" i="11" s="1"/>
  <c r="G4" i="11" s="1"/>
  <c r="C45" i="3"/>
  <c r="C5" i="3"/>
  <c r="F4" i="12" s="1"/>
  <c r="F32" i="12" s="1"/>
  <c r="G32" i="12" s="1"/>
  <c r="C38" i="3"/>
  <c r="C7" i="3"/>
  <c r="F4" i="5" s="1"/>
  <c r="F7" i="5" s="1"/>
  <c r="G7" i="5" s="1"/>
  <c r="C52" i="3"/>
  <c r="C2" i="3"/>
  <c r="F4" i="7" s="1"/>
  <c r="C17" i="3"/>
  <c r="B6" i="3"/>
  <c r="B4" i="11" s="1"/>
  <c r="B45" i="3"/>
  <c r="B7" i="3"/>
  <c r="B4" i="5" s="1"/>
  <c r="B22" i="5" s="1"/>
  <c r="D22" i="5" s="1"/>
  <c r="B52" i="3"/>
  <c r="B5" i="3"/>
  <c r="B4" i="12" s="1"/>
  <c r="B25" i="12" s="1"/>
  <c r="D25" i="12" s="1"/>
  <c r="B38" i="3"/>
  <c r="B2" i="3"/>
  <c r="B4" i="7" s="1"/>
  <c r="B21" i="7" s="1"/>
  <c r="D21" i="7" s="1"/>
  <c r="B17" i="3"/>
  <c r="F37" i="5"/>
  <c r="G37" i="5" s="1"/>
  <c r="F20" i="5"/>
  <c r="G20" i="5" s="1"/>
  <c r="F25" i="5"/>
  <c r="G25" i="5" s="1"/>
  <c r="F32" i="5"/>
  <c r="G32" i="5" s="1"/>
  <c r="F17" i="5"/>
  <c r="G17" i="5" s="1"/>
  <c r="F28" i="5"/>
  <c r="G28" i="5" s="1"/>
  <c r="B13" i="4"/>
  <c r="D13" i="4" s="1"/>
  <c r="B12" i="4"/>
  <c r="D12" i="4" s="1"/>
  <c r="B24" i="4"/>
  <c r="D24" i="4" s="1"/>
  <c r="F21" i="5"/>
  <c r="G21" i="5" s="1"/>
  <c r="F36" i="5"/>
  <c r="G36" i="5" s="1"/>
  <c r="B39" i="4"/>
  <c r="D39" i="4" s="1"/>
  <c r="F10" i="5"/>
  <c r="G10" i="5" s="1"/>
  <c r="F20" i="12"/>
  <c r="G20" i="12" s="1"/>
  <c r="F16" i="12"/>
  <c r="G16" i="12" s="1"/>
  <c r="F13" i="5"/>
  <c r="G13" i="5" s="1"/>
  <c r="F40" i="5"/>
  <c r="G40" i="5" s="1"/>
  <c r="F24" i="5"/>
  <c r="G24" i="5" s="1"/>
  <c r="F8" i="5"/>
  <c r="G8" i="5" s="1"/>
  <c r="F19" i="5"/>
  <c r="G19" i="5" s="1"/>
  <c r="F14" i="5"/>
  <c r="G14" i="5" s="1"/>
  <c r="F18" i="5"/>
  <c r="G18" i="5" s="1"/>
  <c r="F34" i="5"/>
  <c r="G34" i="5" s="1"/>
  <c r="F39" i="5"/>
  <c r="G39" i="5" s="1"/>
  <c r="F35" i="5"/>
  <c r="G35" i="5" s="1"/>
  <c r="F6" i="5"/>
  <c r="G6" i="5" s="1"/>
  <c r="B39" i="11"/>
  <c r="D39" i="11" s="1"/>
  <c r="B38" i="11"/>
  <c r="D38" i="11" s="1"/>
  <c r="B36" i="11"/>
  <c r="D36" i="11" s="1"/>
  <c r="B37" i="11"/>
  <c r="D37" i="11" s="1"/>
  <c r="B24" i="11"/>
  <c r="D24" i="11" s="1"/>
  <c r="B8" i="11"/>
  <c r="D8" i="11" s="1"/>
  <c r="B32" i="11"/>
  <c r="D32" i="11" s="1"/>
  <c r="B33" i="11"/>
  <c r="D33" i="11" s="1"/>
  <c r="B20" i="11"/>
  <c r="D20" i="11" s="1"/>
  <c r="B40" i="11"/>
  <c r="D40" i="11" s="1"/>
  <c r="B28" i="11"/>
  <c r="D28" i="11" s="1"/>
  <c r="B35" i="11"/>
  <c r="D35" i="11" s="1"/>
  <c r="B34" i="11"/>
  <c r="D34" i="11" s="1"/>
  <c r="B31" i="11"/>
  <c r="D31" i="11" s="1"/>
  <c r="B30" i="11"/>
  <c r="D30" i="11" s="1"/>
  <c r="B25" i="11"/>
  <c r="D25" i="11" s="1"/>
  <c r="B29" i="11"/>
  <c r="D29" i="11" s="1"/>
  <c r="B16" i="11"/>
  <c r="D16" i="11" s="1"/>
  <c r="B12" i="11"/>
  <c r="D12" i="11" s="1"/>
  <c r="F28" i="12"/>
  <c r="G28" i="12" s="1"/>
  <c r="F12" i="12"/>
  <c r="G12" i="12" s="1"/>
  <c r="F24" i="12"/>
  <c r="G24" i="12" s="1"/>
  <c r="F8" i="12"/>
  <c r="G8" i="12" s="1"/>
  <c r="F36" i="12"/>
  <c r="G36" i="12" s="1"/>
  <c r="F31" i="5"/>
  <c r="G31" i="5" s="1"/>
  <c r="F15" i="5"/>
  <c r="G15" i="5" s="1"/>
  <c r="B34" i="4"/>
  <c r="D34" i="4" s="1"/>
  <c r="B22" i="4"/>
  <c r="D22" i="4" s="1"/>
  <c r="B3" i="4"/>
  <c r="B33" i="4"/>
  <c r="D33" i="4" s="1"/>
  <c r="B16" i="4"/>
  <c r="D16" i="4" s="1"/>
  <c r="B26" i="4"/>
  <c r="D26" i="4" s="1"/>
  <c r="B37" i="4"/>
  <c r="D37" i="4" s="1"/>
  <c r="B15" i="4"/>
  <c r="D15" i="4" s="1"/>
  <c r="B14" i="4"/>
  <c r="D14" i="4" s="1"/>
  <c r="B25" i="4"/>
  <c r="D25" i="4" s="1"/>
  <c r="B36" i="4"/>
  <c r="D36" i="4" s="1"/>
  <c r="B11" i="4"/>
  <c r="D11" i="4" s="1"/>
  <c r="B8" i="4"/>
  <c r="D8" i="4" s="1"/>
  <c r="B18" i="4"/>
  <c r="D18" i="4" s="1"/>
  <c r="B29" i="4"/>
  <c r="D29" i="4" s="1"/>
  <c r="B23" i="4"/>
  <c r="D23" i="4" s="1"/>
  <c r="B17" i="4"/>
  <c r="D17" i="4" s="1"/>
  <c r="B28" i="4"/>
  <c r="D28" i="4" s="1"/>
  <c r="B38" i="4"/>
  <c r="D38" i="4" s="1"/>
  <c r="B27" i="4"/>
  <c r="D27" i="4" s="1"/>
  <c r="B10" i="4"/>
  <c r="D10" i="4" s="1"/>
  <c r="B21" i="4"/>
  <c r="D21" i="4" s="1"/>
  <c r="B32" i="4"/>
  <c r="D32" i="4" s="1"/>
  <c r="B31" i="4"/>
  <c r="D31" i="4" s="1"/>
  <c r="B9" i="4"/>
  <c r="D9" i="4" s="1"/>
  <c r="B20" i="4"/>
  <c r="D20" i="4" s="1"/>
  <c r="B30" i="4"/>
  <c r="D30" i="4" s="1"/>
  <c r="B19" i="4"/>
  <c r="D19" i="4" s="1"/>
  <c r="B30" i="2"/>
  <c r="D30" i="2" s="1"/>
  <c r="B25" i="2"/>
  <c r="D25" i="2" s="1"/>
  <c r="B12" i="2"/>
  <c r="D12" i="2" s="1"/>
  <c r="B9" i="2"/>
  <c r="D9" i="2" s="1"/>
  <c r="B14" i="2"/>
  <c r="D14" i="2" s="1"/>
  <c r="B28" i="2"/>
  <c r="D28" i="2" s="1"/>
  <c r="B8" i="2"/>
  <c r="D8" i="2" s="1"/>
  <c r="B24" i="2"/>
  <c r="D24" i="2" s="1"/>
  <c r="B37" i="2"/>
  <c r="D37" i="2" s="1"/>
  <c r="B21" i="2"/>
  <c r="D21" i="2" s="1"/>
  <c r="B5" i="2"/>
  <c r="D5" i="2" s="1"/>
  <c r="B26" i="2"/>
  <c r="D26" i="2" s="1"/>
  <c r="B10" i="2"/>
  <c r="D10" i="2" s="1"/>
  <c r="B15" i="2"/>
  <c r="D15" i="2" s="1"/>
  <c r="B31" i="2"/>
  <c r="D31" i="2" s="1"/>
  <c r="B11" i="2"/>
  <c r="D11" i="2" s="1"/>
  <c r="B32" i="2"/>
  <c r="D32" i="2" s="1"/>
  <c r="B33" i="2"/>
  <c r="D33" i="2" s="1"/>
  <c r="B17" i="2"/>
  <c r="D17" i="2" s="1"/>
  <c r="B38" i="2"/>
  <c r="D38" i="2" s="1"/>
  <c r="B22" i="2"/>
  <c r="D22" i="2" s="1"/>
  <c r="B6" i="2"/>
  <c r="D6" i="2" s="1"/>
  <c r="B4" i="2"/>
  <c r="D4" i="2" s="1"/>
  <c r="B20" i="2"/>
  <c r="D20" i="2" s="1"/>
  <c r="B36" i="2"/>
  <c r="D36" i="2" s="1"/>
  <c r="B16" i="2"/>
  <c r="D16" i="2" s="1"/>
  <c r="B35" i="2"/>
  <c r="D35" i="2" s="1"/>
  <c r="B29" i="2"/>
  <c r="D29" i="2" s="1"/>
  <c r="B13" i="2"/>
  <c r="D13" i="2" s="1"/>
  <c r="B34" i="2"/>
  <c r="D34" i="2" s="1"/>
  <c r="B18" i="2"/>
  <c r="D18" i="2" s="1"/>
  <c r="B7" i="2"/>
  <c r="D7" i="2" s="1"/>
  <c r="B23" i="2"/>
  <c r="D23" i="2" s="1"/>
  <c r="B39" i="2"/>
  <c r="D39" i="2" s="1"/>
  <c r="B19" i="2"/>
  <c r="D19" i="2" s="1"/>
  <c r="B27" i="2"/>
  <c r="D27" i="2" s="1"/>
  <c r="B34" i="5"/>
  <c r="D34" i="5" s="1"/>
  <c r="B30" i="5"/>
  <c r="D30" i="5" s="1"/>
  <c r="B26" i="5"/>
  <c r="D26" i="5" s="1"/>
  <c r="B6" i="5"/>
  <c r="D6" i="5" s="1"/>
  <c r="B9" i="5"/>
  <c r="D9" i="5" s="1"/>
  <c r="B25" i="5"/>
  <c r="D25" i="5" s="1"/>
  <c r="B40" i="5"/>
  <c r="D40" i="5" s="1"/>
  <c r="B24" i="5"/>
  <c r="D24" i="5" s="1"/>
  <c r="B8" i="5"/>
  <c r="D8" i="5" s="1"/>
  <c r="B31" i="5"/>
  <c r="D31" i="5" s="1"/>
  <c r="B15" i="5"/>
  <c r="D15" i="5" s="1"/>
  <c r="B28" i="5"/>
  <c r="D28" i="5" s="1"/>
  <c r="B19" i="5"/>
  <c r="D19" i="5" s="1"/>
  <c r="B13" i="5"/>
  <c r="D13" i="5" s="1"/>
  <c r="B29" i="5"/>
  <c r="D29" i="5" s="1"/>
  <c r="B36" i="5"/>
  <c r="D36" i="5" s="1"/>
  <c r="B20" i="5"/>
  <c r="D20" i="5" s="1"/>
  <c r="B27" i="5"/>
  <c r="D27" i="5" s="1"/>
  <c r="B11" i="5"/>
  <c r="D11" i="5" s="1"/>
  <c r="B5" i="5"/>
  <c r="D5" i="5" s="1"/>
  <c r="B21" i="5"/>
  <c r="D21" i="5" s="1"/>
  <c r="B37" i="5"/>
  <c r="D37" i="5" s="1"/>
  <c r="B35" i="5"/>
  <c r="D35" i="5" s="1"/>
  <c r="B17" i="5"/>
  <c r="D17" i="5" s="1"/>
  <c r="B33" i="5"/>
  <c r="D33" i="5" s="1"/>
  <c r="B32" i="5"/>
  <c r="D32" i="5" s="1"/>
  <c r="B16" i="5"/>
  <c r="D16" i="5" s="1"/>
  <c r="B39" i="5"/>
  <c r="D39" i="5" s="1"/>
  <c r="B23" i="5"/>
  <c r="D23" i="5" s="1"/>
  <c r="B7" i="5"/>
  <c r="D7" i="5" s="1"/>
  <c r="B12" i="5"/>
  <c r="D12" i="5" s="1"/>
  <c r="B7" i="12"/>
  <c r="D7" i="12" s="1"/>
  <c r="B20" i="12"/>
  <c r="D20" i="12" s="1"/>
  <c r="B13" i="12"/>
  <c r="D13" i="12" s="1"/>
  <c r="B35" i="12"/>
  <c r="D35" i="12" s="1"/>
  <c r="B21" i="12"/>
  <c r="D21" i="12" s="1"/>
  <c r="B37" i="12"/>
  <c r="D37" i="12" s="1"/>
  <c r="B15" i="12"/>
  <c r="D15" i="12" s="1"/>
  <c r="B17" i="12"/>
  <c r="D17" i="12" s="1"/>
  <c r="B8" i="12"/>
  <c r="D8" i="12" s="1"/>
  <c r="F27" i="11"/>
  <c r="G27" i="11" s="1"/>
  <c r="F34" i="11"/>
  <c r="G34" i="11" s="1"/>
  <c r="F14" i="11"/>
  <c r="G14" i="11" s="1"/>
  <c r="F6" i="11"/>
  <c r="G6" i="11" s="1"/>
  <c r="F30" i="11"/>
  <c r="G30" i="11" s="1"/>
  <c r="F18" i="11"/>
  <c r="G18" i="11" s="1"/>
  <c r="F10" i="11"/>
  <c r="G10" i="11" s="1"/>
  <c r="F38" i="11"/>
  <c r="G38" i="11" s="1"/>
  <c r="F23" i="11"/>
  <c r="G23" i="11" s="1"/>
  <c r="F32" i="11"/>
  <c r="G32" i="11" s="1"/>
  <c r="F35" i="11"/>
  <c r="G35" i="11" s="1"/>
  <c r="F25" i="11"/>
  <c r="G25" i="11" s="1"/>
  <c r="F9" i="11"/>
  <c r="G9" i="11" s="1"/>
  <c r="F8" i="11"/>
  <c r="G8" i="11" s="1"/>
  <c r="F16" i="11"/>
  <c r="G16" i="11" s="1"/>
  <c r="F33" i="11"/>
  <c r="G33" i="11" s="1"/>
  <c r="F22" i="11"/>
  <c r="G22" i="11" s="1"/>
  <c r="F15" i="11"/>
  <c r="G15" i="11" s="1"/>
  <c r="F24" i="11"/>
  <c r="G24" i="11" s="1"/>
  <c r="F28" i="11"/>
  <c r="G28" i="11" s="1"/>
  <c r="F31" i="11"/>
  <c r="G31" i="11" s="1"/>
  <c r="F21" i="11"/>
  <c r="G21" i="11" s="1"/>
  <c r="F5" i="11"/>
  <c r="G5" i="11" s="1"/>
  <c r="F11" i="11"/>
  <c r="G11" i="11" s="1"/>
  <c r="F19" i="11"/>
  <c r="G19" i="11" s="1"/>
  <c r="F37" i="11"/>
  <c r="G37" i="11" s="1"/>
  <c r="F36" i="11"/>
  <c r="G36" i="11" s="1"/>
  <c r="F13" i="11"/>
  <c r="G13" i="11" s="1"/>
  <c r="F29" i="11"/>
  <c r="G29" i="11" s="1"/>
  <c r="F40" i="11"/>
  <c r="G40" i="11" s="1"/>
  <c r="F26" i="11"/>
  <c r="G26" i="11" s="1"/>
  <c r="F17" i="11"/>
  <c r="G17" i="11" s="1"/>
  <c r="F12" i="11"/>
  <c r="G12" i="11" s="1"/>
  <c r="F20" i="11"/>
  <c r="G20" i="11" s="1"/>
  <c r="F39" i="11"/>
  <c r="G39" i="11" s="1"/>
  <c r="F7" i="11"/>
  <c r="G7" i="11" s="1"/>
  <c r="F4" i="13"/>
  <c r="G4" i="13" s="1"/>
  <c r="C3" i="3"/>
  <c r="B4" i="13"/>
  <c r="B3" i="3"/>
  <c r="B26" i="11"/>
  <c r="D26" i="11" s="1"/>
  <c r="B23" i="11"/>
  <c r="D23" i="11" s="1"/>
  <c r="B18" i="11"/>
  <c r="D18" i="11" s="1"/>
  <c r="B10" i="11"/>
  <c r="D10" i="11" s="1"/>
  <c r="B21" i="11"/>
  <c r="D21" i="11" s="1"/>
  <c r="B19" i="11"/>
  <c r="D19" i="11" s="1"/>
  <c r="B13" i="11"/>
  <c r="D13" i="11" s="1"/>
  <c r="B11" i="11"/>
  <c r="D11" i="11" s="1"/>
  <c r="B5" i="11"/>
  <c r="D5" i="11" s="1"/>
  <c r="B27" i="11"/>
  <c r="D27" i="11" s="1"/>
  <c r="B22" i="11"/>
  <c r="D22" i="11" s="1"/>
  <c r="B14" i="11"/>
  <c r="D14" i="11" s="1"/>
  <c r="B6" i="11"/>
  <c r="D6" i="11" s="1"/>
  <c r="B17" i="11"/>
  <c r="D17" i="11" s="1"/>
  <c r="B9" i="11"/>
  <c r="D9" i="11" s="1"/>
  <c r="B7" i="11"/>
  <c r="D7" i="11" s="1"/>
  <c r="B15" i="11"/>
  <c r="D15" i="11" s="1"/>
  <c r="F40" i="12"/>
  <c r="G40" i="12" s="1"/>
  <c r="F39" i="12"/>
  <c r="G39" i="12" s="1"/>
  <c r="F35" i="12"/>
  <c r="G35" i="12" s="1"/>
  <c r="F31" i="12"/>
  <c r="G31" i="12" s="1"/>
  <c r="F27" i="12"/>
  <c r="G27" i="12" s="1"/>
  <c r="F23" i="12"/>
  <c r="G23" i="12" s="1"/>
  <c r="F19" i="12"/>
  <c r="G19" i="12" s="1"/>
  <c r="F15" i="12"/>
  <c r="G15" i="12" s="1"/>
  <c r="F11" i="12"/>
  <c r="G11" i="12" s="1"/>
  <c r="F7" i="12"/>
  <c r="G7" i="12" s="1"/>
  <c r="F37" i="12"/>
  <c r="G37" i="12" s="1"/>
  <c r="F33" i="12"/>
  <c r="G33" i="12" s="1"/>
  <c r="F29" i="12"/>
  <c r="G29" i="12" s="1"/>
  <c r="F25" i="12"/>
  <c r="G25" i="12" s="1"/>
  <c r="F21" i="12"/>
  <c r="G21" i="12" s="1"/>
  <c r="F17" i="12"/>
  <c r="G17" i="12" s="1"/>
  <c r="F13" i="12"/>
  <c r="G13" i="12" s="1"/>
  <c r="F9" i="12"/>
  <c r="G9" i="12" s="1"/>
  <c r="F5" i="12"/>
  <c r="G5" i="12" s="1"/>
  <c r="F30" i="12"/>
  <c r="G30" i="12" s="1"/>
  <c r="F14" i="12"/>
  <c r="G14" i="12" s="1"/>
  <c r="F18" i="12"/>
  <c r="G18" i="12" s="1"/>
  <c r="F26" i="12"/>
  <c r="G26" i="12" s="1"/>
  <c r="F10" i="12"/>
  <c r="G10" i="12" s="1"/>
  <c r="F38" i="12"/>
  <c r="G38" i="12" s="1"/>
  <c r="F22" i="12"/>
  <c r="G22" i="12" s="1"/>
  <c r="F6" i="12"/>
  <c r="G6" i="12" s="1"/>
  <c r="F34" i="12"/>
  <c r="G34" i="12" s="1"/>
  <c r="B35" i="4" l="1"/>
  <c r="D35" i="4" s="1"/>
  <c r="B6" i="4"/>
  <c r="D6" i="4" s="1"/>
  <c r="B7" i="4"/>
  <c r="D7" i="4" s="1"/>
  <c r="B4" i="4"/>
  <c r="D4" i="4" s="1"/>
  <c r="B5" i="4"/>
  <c r="D5" i="4" s="1"/>
  <c r="B38" i="5"/>
  <c r="D38" i="5" s="1"/>
  <c r="B10" i="5"/>
  <c r="D10" i="5" s="1"/>
  <c r="B14" i="5"/>
  <c r="D14" i="5" s="1"/>
  <c r="B18" i="5"/>
  <c r="D18" i="5" s="1"/>
  <c r="G4" i="5"/>
  <c r="G4" i="12"/>
  <c r="F14" i="7"/>
  <c r="G14" i="7" s="1"/>
  <c r="F16" i="7"/>
  <c r="G16" i="7" s="1"/>
  <c r="B33" i="7"/>
  <c r="D33" i="7" s="1"/>
  <c r="B9" i="7"/>
  <c r="D9" i="7" s="1"/>
  <c r="B5" i="7"/>
  <c r="D5" i="7" s="1"/>
  <c r="F22" i="5"/>
  <c r="G22" i="5" s="1"/>
  <c r="F27" i="5"/>
  <c r="G27" i="5" s="1"/>
  <c r="F38" i="5"/>
  <c r="G38" i="5" s="1"/>
  <c r="F30" i="5"/>
  <c r="G30" i="5" s="1"/>
  <c r="F26" i="5"/>
  <c r="G26" i="5" s="1"/>
  <c r="F33" i="5"/>
  <c r="G33" i="5" s="1"/>
  <c r="F23" i="5"/>
  <c r="G23" i="5" s="1"/>
  <c r="F11" i="5"/>
  <c r="G11" i="5" s="1"/>
  <c r="F5" i="5"/>
  <c r="G5" i="5" s="1"/>
  <c r="F12" i="5"/>
  <c r="G12" i="5" s="1"/>
  <c r="F29" i="5"/>
  <c r="G29" i="5" s="1"/>
  <c r="F16" i="5"/>
  <c r="G16" i="5" s="1"/>
  <c r="F9" i="5"/>
  <c r="G9" i="5" s="1"/>
  <c r="B12" i="12"/>
  <c r="D12" i="12" s="1"/>
  <c r="B32" i="12"/>
  <c r="D32" i="12" s="1"/>
  <c r="B40" i="12"/>
  <c r="D40" i="12" s="1"/>
  <c r="B14" i="12"/>
  <c r="D14" i="12" s="1"/>
  <c r="B24" i="12"/>
  <c r="D24" i="12" s="1"/>
  <c r="B6" i="12"/>
  <c r="D6" i="12" s="1"/>
  <c r="B26" i="12"/>
  <c r="D26" i="12" s="1"/>
  <c r="B29" i="12"/>
  <c r="D29" i="12" s="1"/>
  <c r="B9" i="12"/>
  <c r="D9" i="12" s="1"/>
  <c r="B38" i="12"/>
  <c r="D38" i="12" s="1"/>
  <c r="B31" i="12"/>
  <c r="D31" i="12" s="1"/>
  <c r="B16" i="12"/>
  <c r="D16" i="12" s="1"/>
  <c r="B27" i="12"/>
  <c r="D27" i="12" s="1"/>
  <c r="B23" i="12"/>
  <c r="D23" i="12" s="1"/>
  <c r="B33" i="12"/>
  <c r="D33" i="12" s="1"/>
  <c r="B34" i="12"/>
  <c r="D34" i="12" s="1"/>
  <c r="B10" i="12"/>
  <c r="D10" i="12" s="1"/>
  <c r="B36" i="12"/>
  <c r="D36" i="12" s="1"/>
  <c r="B39" i="12"/>
  <c r="D39" i="12" s="1"/>
  <c r="B28" i="12"/>
  <c r="D28" i="12" s="1"/>
  <c r="B18" i="12"/>
  <c r="D18" i="12" s="1"/>
  <c r="B5" i="12"/>
  <c r="D5" i="12" s="1"/>
  <c r="B30" i="12"/>
  <c r="D30" i="12" s="1"/>
  <c r="B22" i="12"/>
  <c r="D22" i="12" s="1"/>
  <c r="B11" i="12"/>
  <c r="D11" i="12" s="1"/>
  <c r="B19" i="12"/>
  <c r="D19" i="12" s="1"/>
  <c r="B27" i="7"/>
  <c r="D27" i="7" s="1"/>
  <c r="B19" i="7"/>
  <c r="D19" i="7" s="1"/>
  <c r="B34" i="7"/>
  <c r="D34" i="7" s="1"/>
  <c r="B29" i="7"/>
  <c r="D29" i="7" s="1"/>
  <c r="B7" i="7"/>
  <c r="D7" i="7" s="1"/>
  <c r="B10" i="7"/>
  <c r="D10" i="7" s="1"/>
  <c r="B38" i="7"/>
  <c r="D38" i="7" s="1"/>
  <c r="B13" i="7"/>
  <c r="D13" i="7" s="1"/>
  <c r="B28" i="7"/>
  <c r="D28" i="7" s="1"/>
  <c r="B40" i="7"/>
  <c r="D40" i="7" s="1"/>
  <c r="B20" i="7"/>
  <c r="D20" i="7" s="1"/>
  <c r="B32" i="7"/>
  <c r="D32" i="7" s="1"/>
  <c r="B12" i="7"/>
  <c r="D12" i="7" s="1"/>
  <c r="B26" i="7"/>
  <c r="D26" i="7" s="1"/>
  <c r="B39" i="7"/>
  <c r="D39" i="7" s="1"/>
  <c r="B22" i="7"/>
  <c r="D22" i="7" s="1"/>
  <c r="B16" i="7"/>
  <c r="D16" i="7" s="1"/>
  <c r="B31" i="7"/>
  <c r="D31" i="7" s="1"/>
  <c r="B18" i="7"/>
  <c r="D18" i="7" s="1"/>
  <c r="B8" i="7"/>
  <c r="D8" i="7" s="1"/>
  <c r="B25" i="7"/>
  <c r="D25" i="7" s="1"/>
  <c r="B11" i="7"/>
  <c r="D11" i="7" s="1"/>
  <c r="B17" i="7"/>
  <c r="D17" i="7" s="1"/>
  <c r="B36" i="7"/>
  <c r="D36" i="7" s="1"/>
  <c r="B6" i="7"/>
  <c r="D6" i="7" s="1"/>
  <c r="B15" i="7"/>
  <c r="D15" i="7" s="1"/>
  <c r="B30" i="7"/>
  <c r="D30" i="7" s="1"/>
  <c r="B37" i="7"/>
  <c r="D37" i="7" s="1"/>
  <c r="B24" i="7"/>
  <c r="D24" i="7" s="1"/>
  <c r="B23" i="7"/>
  <c r="D23" i="7" s="1"/>
  <c r="B14" i="7"/>
  <c r="D14" i="7" s="1"/>
  <c r="B35" i="7"/>
  <c r="D35" i="7" s="1"/>
  <c r="F12" i="7"/>
  <c r="G12" i="7" s="1"/>
  <c r="F39" i="7"/>
  <c r="G39" i="7" s="1"/>
  <c r="F28" i="7"/>
  <c r="G28" i="7" s="1"/>
  <c r="F20" i="7"/>
  <c r="G20" i="7" s="1"/>
  <c r="F15" i="7"/>
  <c r="G15" i="7" s="1"/>
  <c r="F31" i="7"/>
  <c r="G31" i="7" s="1"/>
  <c r="F7" i="7"/>
  <c r="G7" i="7" s="1"/>
  <c r="F11" i="7"/>
  <c r="G11" i="7" s="1"/>
  <c r="F36" i="7"/>
  <c r="G36" i="7" s="1"/>
  <c r="F5" i="7"/>
  <c r="G5" i="7" s="1"/>
  <c r="F35" i="7"/>
  <c r="G35" i="7" s="1"/>
  <c r="F32" i="7"/>
  <c r="G32" i="7" s="1"/>
  <c r="F24" i="7"/>
  <c r="G24" i="7" s="1"/>
  <c r="F25" i="7"/>
  <c r="G25" i="7" s="1"/>
  <c r="F30" i="7"/>
  <c r="G30" i="7" s="1"/>
  <c r="F19" i="7"/>
  <c r="G19" i="7" s="1"/>
  <c r="F8" i="7"/>
  <c r="G8" i="7" s="1"/>
  <c r="F23" i="7"/>
  <c r="G23" i="7" s="1"/>
  <c r="F27" i="7"/>
  <c r="G27" i="7" s="1"/>
  <c r="F40" i="7"/>
  <c r="G40" i="7" s="1"/>
  <c r="G4" i="7"/>
  <c r="F29" i="7"/>
  <c r="G29" i="7" s="1"/>
  <c r="F6" i="7"/>
  <c r="G6" i="7" s="1"/>
  <c r="F26" i="7"/>
  <c r="G26" i="7" s="1"/>
  <c r="F33" i="7"/>
  <c r="G33" i="7" s="1"/>
  <c r="F22" i="7"/>
  <c r="G22" i="7" s="1"/>
  <c r="F21" i="7"/>
  <c r="G21" i="7" s="1"/>
  <c r="F10" i="7"/>
  <c r="G10" i="7" s="1"/>
  <c r="F34" i="7"/>
  <c r="G34" i="7" s="1"/>
  <c r="F37" i="7"/>
  <c r="G37" i="7" s="1"/>
  <c r="F17" i="7"/>
  <c r="G17" i="7" s="1"/>
  <c r="F18" i="7"/>
  <c r="G18" i="7" s="1"/>
  <c r="F38" i="7"/>
  <c r="G38" i="7" s="1"/>
  <c r="F13" i="7"/>
  <c r="G13" i="7" s="1"/>
  <c r="F9" i="7"/>
  <c r="G9" i="7" s="1"/>
  <c r="B25" i="13"/>
  <c r="D25" i="13" s="1"/>
  <c r="B9" i="13"/>
  <c r="D9" i="13" s="1"/>
  <c r="B8" i="13"/>
  <c r="D8" i="13" s="1"/>
  <c r="B24" i="13"/>
  <c r="D24" i="13" s="1"/>
  <c r="B40" i="13"/>
  <c r="D40" i="13" s="1"/>
  <c r="B23" i="13"/>
  <c r="D23" i="13" s="1"/>
  <c r="B39" i="13"/>
  <c r="D39" i="13" s="1"/>
  <c r="B18" i="13"/>
  <c r="D18" i="13" s="1"/>
  <c r="B34" i="13"/>
  <c r="D34" i="13" s="1"/>
  <c r="B29" i="13"/>
  <c r="D29" i="13" s="1"/>
  <c r="B6" i="13"/>
  <c r="D6" i="13" s="1"/>
  <c r="B36" i="13"/>
  <c r="D36" i="13" s="1"/>
  <c r="B14" i="13"/>
  <c r="D14" i="13" s="1"/>
  <c r="B37" i="13"/>
  <c r="D37" i="13" s="1"/>
  <c r="B21" i="13"/>
  <c r="D21" i="13" s="1"/>
  <c r="B7" i="13"/>
  <c r="D7" i="13" s="1"/>
  <c r="B12" i="13"/>
  <c r="D12" i="13" s="1"/>
  <c r="B28" i="13"/>
  <c r="D28" i="13" s="1"/>
  <c r="B11" i="13"/>
  <c r="D11" i="13" s="1"/>
  <c r="B27" i="13"/>
  <c r="D27" i="13" s="1"/>
  <c r="B22" i="13"/>
  <c r="D22" i="13" s="1"/>
  <c r="B38" i="13"/>
  <c r="D38" i="13" s="1"/>
  <c r="B13" i="13"/>
  <c r="D13" i="13" s="1"/>
  <c r="B20" i="13"/>
  <c r="D20" i="13" s="1"/>
  <c r="B19" i="13"/>
  <c r="D19" i="13" s="1"/>
  <c r="B30" i="13"/>
  <c r="D30" i="13" s="1"/>
  <c r="B33" i="13"/>
  <c r="D33" i="13" s="1"/>
  <c r="B17" i="13"/>
  <c r="D17" i="13" s="1"/>
  <c r="B5" i="13"/>
  <c r="D5" i="13" s="1"/>
  <c r="B16" i="13"/>
  <c r="D16" i="13" s="1"/>
  <c r="B32" i="13"/>
  <c r="D32" i="13" s="1"/>
  <c r="B15" i="13"/>
  <c r="D15" i="13" s="1"/>
  <c r="B31" i="13"/>
  <c r="D31" i="13" s="1"/>
  <c r="B10" i="13"/>
  <c r="D10" i="13" s="1"/>
  <c r="B26" i="13"/>
  <c r="D26" i="13" s="1"/>
  <c r="B35" i="13"/>
  <c r="D35" i="13" s="1"/>
  <c r="F39" i="13"/>
  <c r="G39" i="13" s="1"/>
  <c r="F23" i="13"/>
  <c r="G23" i="13" s="1"/>
  <c r="F7" i="13"/>
  <c r="G7" i="13" s="1"/>
  <c r="F35" i="13"/>
  <c r="G35" i="13" s="1"/>
  <c r="F19" i="13"/>
  <c r="G19" i="13" s="1"/>
  <c r="F5" i="13"/>
  <c r="G5" i="13" s="1"/>
  <c r="F31" i="13"/>
  <c r="G31" i="13" s="1"/>
  <c r="F15" i="13"/>
  <c r="G15" i="13" s="1"/>
  <c r="F6" i="13"/>
  <c r="G6" i="13" s="1"/>
  <c r="F27" i="13"/>
  <c r="G27" i="13" s="1"/>
  <c r="F11" i="13"/>
  <c r="G11" i="13" s="1"/>
  <c r="F26" i="13"/>
  <c r="G26" i="13" s="1"/>
  <c r="F10" i="13"/>
  <c r="G10" i="13" s="1"/>
  <c r="F13" i="13"/>
  <c r="G13" i="13" s="1"/>
  <c r="F21" i="13"/>
  <c r="G21" i="13" s="1"/>
  <c r="F29" i="13"/>
  <c r="G29" i="13" s="1"/>
  <c r="F37" i="13"/>
  <c r="G37" i="13" s="1"/>
  <c r="F20" i="13"/>
  <c r="G20" i="13" s="1"/>
  <c r="F38" i="13"/>
  <c r="G38" i="13" s="1"/>
  <c r="F22" i="13"/>
  <c r="G22" i="13" s="1"/>
  <c r="F8" i="13"/>
  <c r="G8" i="13" s="1"/>
  <c r="F16" i="13"/>
  <c r="G16" i="13" s="1"/>
  <c r="F24" i="13"/>
  <c r="G24" i="13" s="1"/>
  <c r="F32" i="13"/>
  <c r="G32" i="13" s="1"/>
  <c r="F40" i="13"/>
  <c r="G40" i="13" s="1"/>
  <c r="F12" i="13"/>
  <c r="G12" i="13" s="1"/>
  <c r="F36" i="13"/>
  <c r="G36" i="13" s="1"/>
  <c r="F34" i="13"/>
  <c r="G34" i="13" s="1"/>
  <c r="F18" i="13"/>
  <c r="G18" i="13" s="1"/>
  <c r="F9" i="13"/>
  <c r="G9" i="13" s="1"/>
  <c r="F17" i="13"/>
  <c r="G17" i="13" s="1"/>
  <c r="F25" i="13"/>
  <c r="G25" i="13" s="1"/>
  <c r="F33" i="13"/>
  <c r="G33" i="13" s="1"/>
  <c r="F30" i="13"/>
  <c r="G30" i="13" s="1"/>
  <c r="F28" i="13"/>
  <c r="G28" i="13" s="1"/>
  <c r="F14" i="13"/>
  <c r="G14" i="13" s="1"/>
  <c r="I20" i="14"/>
  <c r="I24" i="14" s="1"/>
</calcChain>
</file>

<file path=xl/sharedStrings.xml><?xml version="1.0" encoding="utf-8"?>
<sst xmlns="http://schemas.openxmlformats.org/spreadsheetml/2006/main" count="399" uniqueCount="117">
  <si>
    <t>SALARIOS BRUTOS</t>
  </si>
  <si>
    <t>SUELDO</t>
  </si>
  <si>
    <t>P.P. EXTRAS</t>
  </si>
  <si>
    <t>INDEMNIZACION</t>
  </si>
  <si>
    <t>C. DESTINO (18)</t>
  </si>
  <si>
    <t>C. ESPECIFICO (28)</t>
  </si>
  <si>
    <t>C. DESTINO (14)</t>
  </si>
  <si>
    <t>C. ESPECIFICO (24)</t>
  </si>
  <si>
    <t>INDENIZACION</t>
  </si>
  <si>
    <t>€/MES (MÍNIMOS)</t>
  </si>
  <si>
    <t>€/MES (MAXIMOS)</t>
  </si>
  <si>
    <t>€/MES (MÁXIMOS)</t>
  </si>
  <si>
    <t>€/MES (MINIMOS)</t>
  </si>
  <si>
    <t>SUELDO (B)</t>
  </si>
  <si>
    <t>BASE MINIMA/HORA Tº PARCIAL GRUPO 1</t>
  </si>
  <si>
    <t>BASE MINIMA G1</t>
  </si>
  <si>
    <t>BASE MINIMA/HORA Tº PARCIAL GRUPO 2</t>
  </si>
  <si>
    <t>BASE MINIMA/HORA Tº PARCIAL GRUPO 4-11</t>
  </si>
  <si>
    <t>12 DIAS</t>
  </si>
  <si>
    <t>Retribución/año (*1)</t>
  </si>
  <si>
    <t>mínimas</t>
  </si>
  <si>
    <t>máximas</t>
  </si>
  <si>
    <t>PERSONAL INVESTIGADOR</t>
  </si>
  <si>
    <t>Investigador en Formación</t>
  </si>
  <si>
    <t>PERSONAL COLABORADOR EN TAREAS DE INVESTIGACIÓN</t>
  </si>
  <si>
    <t>Titulados superiores I</t>
  </si>
  <si>
    <t>Titulados superiores II</t>
  </si>
  <si>
    <t>Titulados de grado medio</t>
  </si>
  <si>
    <t>Especialistas Técnicos (*2)</t>
  </si>
  <si>
    <t>Auxiliares (*2)</t>
  </si>
  <si>
    <t>TOTAL</t>
  </si>
  <si>
    <t>INVESTIGADOR EN FORMACIÓN</t>
  </si>
  <si>
    <t>INVESTIGADOR JUNIOR</t>
  </si>
  <si>
    <t>INVESTIGADOR SENIOR</t>
  </si>
  <si>
    <t>BASE MINIMA/HORA Tº PARCIAL GRUPO 5</t>
  </si>
  <si>
    <t>AUXILIAR</t>
  </si>
  <si>
    <t>TOTAL…………………</t>
  </si>
  <si>
    <t>TOTAL…………….</t>
  </si>
  <si>
    <t>ESPECIALISTA TECNICO</t>
  </si>
  <si>
    <t>TITULADO SUPERIOR I</t>
  </si>
  <si>
    <t>TITULADO SUPERIOR II</t>
  </si>
  <si>
    <t>TITULADO DE GRADO MEDIO</t>
  </si>
  <si>
    <t>Complemento Compensatorio CD</t>
  </si>
  <si>
    <t>Investigador Senior</t>
  </si>
  <si>
    <t>Investigador Junior</t>
  </si>
  <si>
    <t>DEDICACION HORAS  SEMANALES</t>
  </si>
  <si>
    <t xml:space="preserve">RETRIBUCION MENSUAL BRUTA </t>
  </si>
  <si>
    <t>RETRIBUCIONES MINIMAS</t>
  </si>
  <si>
    <t>RETRIBUCIONES MAXIMAS</t>
  </si>
  <si>
    <t>Grupo de Cotización</t>
  </si>
  <si>
    <t>CONTINGENCIAS COMUNES</t>
  </si>
  <si>
    <t>BASE MINIMA HORA</t>
  </si>
  <si>
    <t>TOPE MÍNIMO</t>
  </si>
  <si>
    <t>TOPE MÁXIMO</t>
  </si>
  <si>
    <t>CONTINGENCIAS PROFESIONALES</t>
  </si>
  <si>
    <t>Base Cotización</t>
  </si>
  <si>
    <t>Tipos cotización %</t>
  </si>
  <si>
    <t>Cuota Patronal</t>
  </si>
  <si>
    <t>Contingencias Comunes</t>
  </si>
  <si>
    <t>Contingencias Profesionales</t>
  </si>
  <si>
    <t>Bases mínimas euros/mes</t>
  </si>
  <si>
    <t>Bases máximas euros/mes</t>
  </si>
  <si>
    <t>CALCULADORA COSTE SEG.SOCIAL TIEMPO COMPLETO</t>
  </si>
  <si>
    <t>TOTAL COSTE SEGURIDAD SOCIAL</t>
  </si>
  <si>
    <r>
      <rPr>
        <sz val="9"/>
        <color rgb="FF0033CC"/>
        <rFont val="Verdana"/>
        <family val="2"/>
      </rPr>
      <t>Por favor, introduzca la</t>
    </r>
    <r>
      <rPr>
        <b/>
        <sz val="9"/>
        <color rgb="FF0033CC"/>
        <rFont val="Verdana"/>
        <family val="2"/>
      </rPr>
      <t xml:space="preserve"> DEDICACION de HORAS semanales…………………………….……………………………….</t>
    </r>
  </si>
  <si>
    <t>CALCULADORA COSTE SEG.SOCIAL TIEMPO PARCIAL</t>
  </si>
  <si>
    <t>TOTAL COSTE SEGURIDAD SOCIAL……..</t>
  </si>
  <si>
    <r>
      <rPr>
        <b/>
        <sz val="10"/>
        <rFont val="Verdana"/>
        <family val="2"/>
      </rPr>
      <t>(*) NOTA:</t>
    </r>
    <r>
      <rPr>
        <sz val="10"/>
        <rFont val="Verdana"/>
        <family val="2"/>
      </rPr>
      <t xml:space="preserve"> Para calcular el coste total del contrato/renovación para el periodo, utilice la siguiente plantilla………………………………………………………</t>
    </r>
  </si>
  <si>
    <r>
      <rPr>
        <sz val="9"/>
        <color rgb="FF0033CC"/>
        <rFont val="Verdana"/>
        <family val="2"/>
      </rPr>
      <t>Por favor, introduzca la</t>
    </r>
    <r>
      <rPr>
        <b/>
        <sz val="9"/>
        <color rgb="FF0033CC"/>
        <rFont val="Verdana"/>
        <family val="2"/>
      </rPr>
      <t xml:space="preserve"> RETRIBUCION MENSUAL PROPUESTA ……….……………….……………………………….</t>
    </r>
  </si>
  <si>
    <t>Base mín.Cotiz.</t>
  </si>
  <si>
    <t>Tipo cotización %</t>
  </si>
  <si>
    <t>1º año, no inferior a</t>
  </si>
  <si>
    <t>2º año, no inferior a</t>
  </si>
  <si>
    <t>3º año, no inferior a</t>
  </si>
  <si>
    <t>4º año, no inferior a</t>
  </si>
  <si>
    <t>Prorrateo de la cuantía, para percibir identica cuantia anual</t>
  </si>
  <si>
    <r>
      <t>(</t>
    </r>
    <r>
      <rPr>
        <b/>
        <sz val="9"/>
        <rFont val="Verdana"/>
        <family val="2"/>
      </rPr>
      <t xml:space="preserve">*) NOTA: </t>
    </r>
    <r>
      <rPr>
        <sz val="9"/>
        <rFont val="Verdana"/>
        <family val="2"/>
      </rPr>
      <t xml:space="preserve">Cuando la dedicación es a </t>
    </r>
    <r>
      <rPr>
        <b/>
        <sz val="9"/>
        <rFont val="Verdana"/>
        <family val="2"/>
      </rPr>
      <t>TIEMPO PARCIAL</t>
    </r>
    <r>
      <rPr>
        <sz val="9"/>
        <rFont val="Verdana"/>
        <family val="2"/>
      </rPr>
      <t xml:space="preserve">, para retribuciones distintas a las establecidas en tablas, según bases de la convocatoria, usar la siguiente calculadora para determinar el coste de Seguridad Social </t>
    </r>
  </si>
  <si>
    <r>
      <t>(</t>
    </r>
    <r>
      <rPr>
        <b/>
        <sz val="9"/>
        <rFont val="Verdana"/>
        <family val="2"/>
      </rPr>
      <t xml:space="preserve">*) NOTA: </t>
    </r>
    <r>
      <rPr>
        <sz val="9"/>
        <rFont val="Verdana"/>
        <family val="2"/>
      </rPr>
      <t xml:space="preserve">Cuando la dedicación es a </t>
    </r>
    <r>
      <rPr>
        <b/>
        <sz val="9"/>
        <rFont val="Verdana"/>
        <family val="2"/>
      </rPr>
      <t>TIEMPO PARCIAL</t>
    </r>
    <r>
      <rPr>
        <sz val="9"/>
        <rFont val="Verdana"/>
        <family val="2"/>
      </rPr>
      <t xml:space="preserve">, para retribuciones comprendidas </t>
    </r>
    <r>
      <rPr>
        <b/>
        <sz val="9"/>
        <rFont val="Verdana"/>
        <family val="2"/>
      </rPr>
      <t>en el rango del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intervalo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establecido</t>
    </r>
    <r>
      <rPr>
        <sz val="9"/>
        <rFont val="Verdana"/>
        <family val="2"/>
      </rPr>
      <t xml:space="preserve">, usar la siguiente calculadora para determinar el coste de Seguridad Social </t>
    </r>
  </si>
  <si>
    <r>
      <t>(</t>
    </r>
    <r>
      <rPr>
        <b/>
        <sz val="9"/>
        <rFont val="Verdana"/>
        <family val="2"/>
      </rPr>
      <t xml:space="preserve">*) NOTA: </t>
    </r>
    <r>
      <rPr>
        <sz val="9"/>
        <rFont val="Verdana"/>
        <family val="2"/>
      </rPr>
      <t xml:space="preserve">Cuando la dedicación es a </t>
    </r>
    <r>
      <rPr>
        <b/>
        <sz val="9"/>
        <rFont val="Verdana"/>
        <family val="2"/>
      </rPr>
      <t>TIEMPO PARCIAL</t>
    </r>
    <r>
      <rPr>
        <sz val="9"/>
        <rFont val="Verdana"/>
        <family val="2"/>
      </rPr>
      <t>, para retribuciones comprendidas en el</t>
    </r>
    <r>
      <rPr>
        <b/>
        <sz val="9"/>
        <rFont val="Verdana"/>
        <family val="2"/>
      </rPr>
      <t xml:space="preserve"> rango del intervalo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establecido</t>
    </r>
    <r>
      <rPr>
        <sz val="9"/>
        <rFont val="Verdana"/>
        <family val="2"/>
      </rPr>
      <t xml:space="preserve">, usar la siguiente calculadora para determinar el coste de Seguridad Social </t>
    </r>
  </si>
  <si>
    <t>RETRIBUCION BRUTA MENSUAL (12 pagas)</t>
  </si>
  <si>
    <t>RETRIBUCION MÍNIMA A PERCIBIR (TIEMPO COMPLETO)</t>
  </si>
  <si>
    <t>CONTRATO PREDOCTORAL</t>
  </si>
  <si>
    <t>Grupo de Cotización 1</t>
  </si>
  <si>
    <t>Base mínima/hora</t>
  </si>
  <si>
    <t>TOTAL COSTE SEGURIDAD SOCIAL……………..</t>
  </si>
  <si>
    <t>RETRIBUCION BRUTA MENSUAL (14 pagas)</t>
  </si>
  <si>
    <t>TOTAL COSTE SEGURIDAD SOCIAL……………………</t>
  </si>
  <si>
    <r>
      <rPr>
        <sz val="9"/>
        <color rgb="FF0033CC"/>
        <rFont val="Verdana"/>
        <family val="2"/>
      </rPr>
      <t>Por favor, introduzca la</t>
    </r>
    <r>
      <rPr>
        <b/>
        <sz val="9"/>
        <color rgb="FF0033CC"/>
        <rFont val="Verdana"/>
        <family val="2"/>
      </rPr>
      <t xml:space="preserve"> RETRIBUCION MENSUAL BRUTA PROPUESTA </t>
    </r>
    <r>
      <rPr>
        <sz val="9"/>
        <color rgb="FF0033CC"/>
        <rFont val="Verdana"/>
        <family val="2"/>
      </rPr>
      <t xml:space="preserve">para </t>
    </r>
    <r>
      <rPr>
        <b/>
        <sz val="9"/>
        <color rgb="FF0033CC"/>
        <rFont val="Verdana"/>
        <family val="2"/>
      </rPr>
      <t>37,5</t>
    </r>
    <r>
      <rPr>
        <sz val="9"/>
        <color rgb="FF0033CC"/>
        <rFont val="Verdana"/>
        <family val="2"/>
      </rPr>
      <t xml:space="preserve"> </t>
    </r>
    <r>
      <rPr>
        <b/>
        <sz val="9"/>
        <color rgb="FF0033CC"/>
        <rFont val="Verdana"/>
        <family val="2"/>
      </rPr>
      <t>h/semana ………………………………</t>
    </r>
  </si>
  <si>
    <r>
      <rPr>
        <sz val="9"/>
        <color rgb="FF0033CC"/>
        <rFont val="Verdana"/>
        <family val="2"/>
      </rPr>
      <t>Por favor, introduzca la</t>
    </r>
    <r>
      <rPr>
        <b/>
        <sz val="9"/>
        <color rgb="FF0033CC"/>
        <rFont val="Verdana"/>
        <family val="2"/>
      </rPr>
      <t xml:space="preserve"> RETRIBUCION MENSUAL BRUTA PROPUESTA </t>
    </r>
    <r>
      <rPr>
        <sz val="9"/>
        <color rgb="FF0033CC"/>
        <rFont val="Verdana"/>
        <family val="2"/>
      </rPr>
      <t xml:space="preserve">para </t>
    </r>
    <r>
      <rPr>
        <b/>
        <sz val="9"/>
        <color rgb="FF0033CC"/>
        <rFont val="Verdana"/>
        <family val="2"/>
      </rPr>
      <t>37,5 h/semana ………………………………</t>
    </r>
  </si>
  <si>
    <t>BASE MINIMA G2</t>
  </si>
  <si>
    <t>BASE MINIMA G5</t>
  </si>
  <si>
    <t>BASE MINIMA G7</t>
  </si>
  <si>
    <t>RETRIBUCION BRUTA ANUAL (*)</t>
  </si>
  <si>
    <t>OCULTAR ESTA FILA AL PUBLICAR</t>
  </si>
  <si>
    <r>
      <rPr>
        <sz val="9"/>
        <color rgb="FF0033CC"/>
        <rFont val="Verdana"/>
        <family val="2"/>
      </rPr>
      <t>Por favor, introduzca la</t>
    </r>
    <r>
      <rPr>
        <b/>
        <sz val="9"/>
        <color rgb="FF0033CC"/>
        <rFont val="Verdana"/>
        <family val="2"/>
      </rPr>
      <t xml:space="preserve"> RETRIBUCION MENSUAL BRUTA PROPUESTA 37,5 h:</t>
    </r>
  </si>
  <si>
    <t>TITULADO GRADO MEDIO</t>
  </si>
  <si>
    <t xml:space="preserve">TABLAS RETRIBUTIVAS DEL PERSONAL INVESTIGADOR EN FORMACIÓN AÑO  2023                                                                                                         </t>
  </si>
  <si>
    <t>CALCULO RC E INDEMNIZACION</t>
  </si>
  <si>
    <r>
      <t xml:space="preserve">CALCULADORA COSTE SEG.SOCIAL CONTRATO                                                               </t>
    </r>
    <r>
      <rPr>
        <b/>
        <sz val="11"/>
        <color rgb="FFFF0000"/>
        <rFont val="Verdana"/>
        <family val="2"/>
      </rPr>
      <t xml:space="preserve"> EN PRÁCTICAS/ACCESO PERSONAL INVESTIGADOR DOCTOR</t>
    </r>
  </si>
  <si>
    <t>Cuota Patronal con Bonificación**</t>
  </si>
  <si>
    <r>
      <t xml:space="preserve">(**) BONIFICACION: </t>
    </r>
    <r>
      <rPr>
        <sz val="10"/>
        <rFont val="Verdana"/>
        <family val="2"/>
      </rPr>
      <t xml:space="preserve">artículo 27 del RDL 1/2023 “La contratación de personal investigador bajo la modalidad de contrato predoctoral establecida en el artículo 21 de la Ley 14/2011, de 1 de junio, de la Ciencia, la Tecnología y la Innovación, dará derecho, durante la vigencia del contrato, incluidas sus prórrogas, a una bonificación en la cotización, en los términos establecidos en el artículo 10, de </t>
    </r>
    <r>
      <rPr>
        <b/>
        <sz val="10"/>
        <rFont val="Verdana"/>
        <family val="2"/>
      </rPr>
      <t>115 euros/mes</t>
    </r>
    <r>
      <rPr>
        <sz val="10"/>
        <rFont val="Verdana"/>
        <family val="2"/>
      </rPr>
      <t>"</t>
    </r>
  </si>
  <si>
    <t>CALCULO RC</t>
  </si>
  <si>
    <r>
      <rPr>
        <b/>
        <sz val="10"/>
        <rFont val="Verdana"/>
        <family val="2"/>
      </rPr>
      <t>(*) REFERENCIA:</t>
    </r>
    <r>
      <rPr>
        <sz val="10"/>
        <rFont val="Verdana"/>
        <family val="2"/>
      </rPr>
      <t xml:space="preserve"> Conforme a las tablas retributivas del personal laboral IV Convenio colectivo único de la Administración General del Estado. Con efectos desde el 01.11.23.</t>
    </r>
  </si>
  <si>
    <r>
      <t xml:space="preserve">CALCULADORA COSTE SEG.SOCIAL CONTRATO </t>
    </r>
    <r>
      <rPr>
        <b/>
        <sz val="11"/>
        <color rgb="FFFF0000"/>
        <rFont val="Verdana"/>
        <family val="2"/>
      </rPr>
      <t xml:space="preserve">PREDOCTORAL                             </t>
    </r>
    <r>
      <rPr>
        <b/>
        <sz val="11"/>
        <color rgb="FF0033CC"/>
        <rFont val="Verdana"/>
        <family val="2"/>
      </rPr>
      <t>(CONTRATOS INICIADOS A PARTIR DE 01/09/23)</t>
    </r>
    <r>
      <rPr>
        <b/>
        <sz val="11"/>
        <rFont val="Verdana"/>
        <family val="2"/>
      </rPr>
      <t>*</t>
    </r>
  </si>
  <si>
    <r>
      <t xml:space="preserve">CALCULADORA COSTE SEG.SOCIAL CONTRATO </t>
    </r>
    <r>
      <rPr>
        <b/>
        <sz val="11"/>
        <color rgb="FFFF0000"/>
        <rFont val="Verdana"/>
        <family val="2"/>
      </rPr>
      <t>PREDOCTORAL</t>
    </r>
    <r>
      <rPr>
        <b/>
        <sz val="11"/>
        <rFont val="Verdana"/>
        <family val="2"/>
      </rPr>
      <t xml:space="preserve"> </t>
    </r>
    <r>
      <rPr>
        <b/>
        <sz val="11"/>
        <color rgb="FF0033CC"/>
        <rFont val="Verdana"/>
        <family val="2"/>
      </rPr>
      <t>( CONTRATOS INICIADOS ANTES DEL 01/09/23)</t>
    </r>
  </si>
  <si>
    <t>TABLAS 2022</t>
  </si>
  <si>
    <t>TABLAS 2024 CON INCREMENTO 4% (2023:1,5% + 2,5%) y 0,5 + 0,5 de 2024) = 5%</t>
  </si>
  <si>
    <t xml:space="preserve">TABLAS RETRIBUTIVAS DEL PERSONAL INVESTIGADOR AÑO 2024                                                                                                          </t>
  </si>
  <si>
    <t xml:space="preserve">TABLAS RETRIBUTIVAS DEL PERSONAL INVESTIGADOR AÑO 2024                                                                                                  </t>
  </si>
  <si>
    <t xml:space="preserve">TABLAS RETRIBUTIVAS DEL PERSONAL INVESTIGADOR AÑO 2024                                                                                                         </t>
  </si>
  <si>
    <t>TABLAS RETRIBUTIVAS DEL PERSONAL INVESTIGADOR AÑO 2024</t>
  </si>
  <si>
    <t>COMPENSATORIO TRANSITORIO DESDE 2024</t>
  </si>
  <si>
    <t>ANTERIORMENTE CÁLCULO INDEMNIZACION 12 DIAS</t>
  </si>
  <si>
    <t>CUOTA  SEG.SOCIAL 33,18%</t>
  </si>
  <si>
    <t>CUOTA SEG.SOCIAL 33,18%</t>
  </si>
  <si>
    <t xml:space="preserve">TABLAS RETRIBUTIVAS DEL PERSONAL INVESTIGADOR AÑO 2024                                                                                                           </t>
  </si>
  <si>
    <t xml:space="preserve">TABLAS RETRIBUTIVAS DEL PERSONAL INVESTIGADOR AÑO 2024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</si>
</sst>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3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u/>
      <sz val="10"/>
      <name val="Verdana"/>
      <family val="2"/>
    </font>
    <font>
      <sz val="10"/>
      <name val="Verdana"/>
      <family val="2"/>
    </font>
    <font>
      <b/>
      <sz val="11"/>
      <color rgb="FF000000"/>
      <name val="Verdana"/>
      <family val="2"/>
    </font>
    <font>
      <b/>
      <sz val="10"/>
      <name val="Verdana"/>
      <family val="2"/>
    </font>
    <font>
      <sz val="10"/>
      <color indexed="10"/>
      <name val="Verdana"/>
      <family val="2"/>
    </font>
    <font>
      <b/>
      <u/>
      <sz val="10"/>
      <name val="Verdana"/>
      <family val="2"/>
    </font>
    <font>
      <sz val="11"/>
      <color rgb="FF000000"/>
      <name val="Verdana"/>
      <family val="2"/>
    </font>
    <font>
      <sz val="11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8"/>
      <color rgb="FF000000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sz val="10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i/>
      <sz val="9"/>
      <name val="Verdana"/>
      <family val="2"/>
    </font>
    <font>
      <b/>
      <sz val="9"/>
      <color rgb="FF0000CC"/>
      <name val="Verdana"/>
      <family val="2"/>
    </font>
    <font>
      <b/>
      <sz val="9"/>
      <color rgb="FF0033CC"/>
      <name val="Verdana"/>
      <family val="2"/>
    </font>
    <font>
      <sz val="9"/>
      <color rgb="FF0033CC"/>
      <name val="Verdana"/>
      <family val="2"/>
    </font>
    <font>
      <sz val="10"/>
      <color rgb="FF0033CC"/>
      <name val="Verdana"/>
      <family val="2"/>
    </font>
    <font>
      <i/>
      <sz val="10"/>
      <name val="Verdana"/>
      <family val="2"/>
    </font>
    <font>
      <b/>
      <sz val="10"/>
      <color rgb="FF0033CC"/>
      <name val="Verdana"/>
      <family val="2"/>
    </font>
    <font>
      <u/>
      <sz val="10"/>
      <color theme="10"/>
      <name val="Arial"/>
      <family val="2"/>
    </font>
    <font>
      <b/>
      <i/>
      <sz val="9"/>
      <color theme="0" tint="-0.34998626667073579"/>
      <name val="Verdana"/>
      <family val="2"/>
    </font>
    <font>
      <i/>
      <sz val="10"/>
      <color theme="0" tint="-0.34998626667073579"/>
      <name val="Verdana"/>
      <family val="2"/>
    </font>
    <font>
      <b/>
      <sz val="11"/>
      <color rgb="FFFF0000"/>
      <name val="Verdana"/>
      <family val="2"/>
    </font>
    <font>
      <b/>
      <sz val="11"/>
      <color rgb="FF0033CC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ashed">
        <color theme="0" tint="-0.24994659260841701"/>
      </bottom>
      <diagonal/>
    </border>
    <border>
      <left style="thin">
        <color indexed="64"/>
      </left>
      <right style="thin">
        <color indexed="64"/>
      </right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 style="thin">
        <color indexed="64"/>
      </right>
      <top style="dashed">
        <color theme="0" tint="-0.2499465926084170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dashed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theme="0" tint="-0.24994659260841701"/>
      </top>
      <bottom style="dashed">
        <color theme="0" tint="-0.24994659260841701"/>
      </bottom>
      <diagonal/>
    </border>
    <border>
      <left/>
      <right style="medium">
        <color indexed="64"/>
      </right>
      <top style="dashed">
        <color theme="0" tint="-0.24994659260841701"/>
      </top>
      <bottom style="dashed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dashed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dashed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medium">
        <color indexed="64"/>
      </bottom>
      <diagonal/>
    </border>
    <border>
      <left/>
      <right/>
      <top style="dashed">
        <color theme="0" tint="-0.24994659260841701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34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2" fontId="4" fillId="0" borderId="0" xfId="0" applyNumberFormat="1" applyFont="1"/>
    <xf numFmtId="0" fontId="7" fillId="0" borderId="0" xfId="0" applyFont="1"/>
    <xf numFmtId="0" fontId="6" fillId="0" borderId="0" xfId="0" applyFont="1"/>
    <xf numFmtId="0" fontId="8" fillId="0" borderId="0" xfId="0" applyFont="1" applyBorder="1" applyAlignment="1">
      <alignment vertical="center"/>
    </xf>
    <xf numFmtId="0" fontId="7" fillId="0" borderId="13" xfId="0" applyFont="1" applyFill="1" applyBorder="1"/>
    <xf numFmtId="0" fontId="11" fillId="0" borderId="0" xfId="0" applyFont="1"/>
    <xf numFmtId="0" fontId="11" fillId="0" borderId="0" xfId="0" applyFont="1" applyAlignment="1">
      <alignment horizontal="right"/>
    </xf>
    <xf numFmtId="4" fontId="7" fillId="0" borderId="0" xfId="0" applyNumberFormat="1" applyFont="1"/>
    <xf numFmtId="0" fontId="9" fillId="0" borderId="18" xfId="0" applyFont="1" applyFill="1" applyBorder="1"/>
    <xf numFmtId="0" fontId="9" fillId="0" borderId="0" xfId="0" applyFont="1" applyFill="1" applyBorder="1"/>
    <xf numFmtId="0" fontId="7" fillId="0" borderId="0" xfId="0" applyFont="1" applyBorder="1"/>
    <xf numFmtId="2" fontId="9" fillId="0" borderId="0" xfId="0" applyNumberFormat="1" applyFont="1"/>
    <xf numFmtId="2" fontId="7" fillId="0" borderId="0" xfId="0" applyNumberFormat="1" applyFont="1"/>
    <xf numFmtId="2" fontId="7" fillId="0" borderId="0" xfId="0" applyNumberFormat="1" applyFont="1" applyBorder="1"/>
    <xf numFmtId="0" fontId="7" fillId="0" borderId="0" xfId="0" applyFont="1" applyAlignment="1">
      <alignment vertical="center"/>
    </xf>
    <xf numFmtId="0" fontId="7" fillId="0" borderId="18" xfId="0" applyFont="1" applyFill="1" applyBorder="1"/>
    <xf numFmtId="0" fontId="7" fillId="0" borderId="21" xfId="0" applyFont="1" applyFill="1" applyBorder="1"/>
    <xf numFmtId="0" fontId="7" fillId="0" borderId="19" xfId="0" applyFont="1" applyBorder="1"/>
    <xf numFmtId="0" fontId="7" fillId="0" borderId="20" xfId="0" applyFont="1" applyBorder="1"/>
    <xf numFmtId="0" fontId="16" fillId="2" borderId="4" xfId="0" applyFont="1" applyFill="1" applyBorder="1" applyAlignment="1">
      <alignment vertical="center"/>
    </xf>
    <xf numFmtId="0" fontId="9" fillId="0" borderId="0" xfId="0" applyFont="1"/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Fill="1" applyBorder="1"/>
    <xf numFmtId="0" fontId="7" fillId="0" borderId="0" xfId="0" applyFont="1" applyAlignment="1">
      <alignment horizontal="center" wrapText="1"/>
    </xf>
    <xf numFmtId="0" fontId="13" fillId="0" borderId="0" xfId="0" applyFont="1" applyAlignment="1">
      <alignment vertical="center"/>
    </xf>
    <xf numFmtId="0" fontId="7" fillId="0" borderId="30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 shrinkToFit="1"/>
    </xf>
    <xf numFmtId="0" fontId="13" fillId="0" borderId="9" xfId="0" applyFont="1" applyBorder="1" applyAlignment="1">
      <alignment vertical="center"/>
    </xf>
    <xf numFmtId="0" fontId="9" fillId="3" borderId="27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2" fontId="7" fillId="0" borderId="30" xfId="0" applyNumberFormat="1" applyFont="1" applyBorder="1" applyAlignment="1">
      <alignment horizontal="center"/>
    </xf>
    <xf numFmtId="2" fontId="7" fillId="0" borderId="31" xfId="0" applyNumberFormat="1" applyFont="1" applyBorder="1" applyAlignment="1">
      <alignment horizontal="center"/>
    </xf>
    <xf numFmtId="0" fontId="19" fillId="0" borderId="0" xfId="0" applyFont="1" applyAlignment="1">
      <alignment vertical="center"/>
    </xf>
    <xf numFmtId="0" fontId="19" fillId="0" borderId="33" xfId="0" applyFont="1" applyBorder="1" applyAlignment="1">
      <alignment horizontal="center" vertical="center"/>
    </xf>
    <xf numFmtId="2" fontId="7" fillId="0" borderId="0" xfId="1" applyNumberFormat="1" applyFont="1" applyAlignment="1">
      <alignment horizontal="center"/>
    </xf>
    <xf numFmtId="164" fontId="7" fillId="0" borderId="0" xfId="1" applyFont="1" applyAlignment="1">
      <alignment horizontal="center" vertical="center"/>
    </xf>
    <xf numFmtId="164" fontId="9" fillId="0" borderId="0" xfId="1" applyFont="1" applyAlignment="1">
      <alignment horizontal="center" vertical="center"/>
    </xf>
    <xf numFmtId="2" fontId="7" fillId="0" borderId="0" xfId="1" applyNumberFormat="1" applyFont="1" applyAlignment="1">
      <alignment horizontal="center" vertical="center"/>
    </xf>
    <xf numFmtId="2" fontId="7" fillId="0" borderId="31" xfId="1" applyNumberFormat="1" applyFont="1" applyBorder="1" applyAlignment="1">
      <alignment horizontal="center"/>
    </xf>
    <xf numFmtId="164" fontId="9" fillId="0" borderId="31" xfId="1" applyFont="1" applyBorder="1" applyAlignment="1">
      <alignment horizontal="center"/>
    </xf>
    <xf numFmtId="2" fontId="7" fillId="0" borderId="32" xfId="1" applyNumberFormat="1" applyFont="1" applyBorder="1" applyAlignment="1">
      <alignment horizontal="center"/>
    </xf>
    <xf numFmtId="164" fontId="9" fillId="0" borderId="32" xfId="1" applyFont="1" applyBorder="1" applyAlignment="1">
      <alignment horizontal="center"/>
    </xf>
    <xf numFmtId="0" fontId="19" fillId="0" borderId="34" xfId="0" applyFont="1" applyBorder="1" applyAlignment="1">
      <alignment vertical="center"/>
    </xf>
    <xf numFmtId="0" fontId="7" fillId="0" borderId="36" xfId="0" applyFont="1" applyFill="1" applyBorder="1" applyAlignment="1">
      <alignment horizontal="center"/>
    </xf>
    <xf numFmtId="2" fontId="7" fillId="0" borderId="36" xfId="1" applyNumberFormat="1" applyFont="1" applyBorder="1" applyAlignment="1">
      <alignment horizontal="center"/>
    </xf>
    <xf numFmtId="164" fontId="9" fillId="0" borderId="36" xfId="1" applyFont="1" applyBorder="1" applyAlignment="1">
      <alignment horizontal="center"/>
    </xf>
    <xf numFmtId="164" fontId="9" fillId="3" borderId="1" xfId="1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center" vertical="center"/>
    </xf>
    <xf numFmtId="2" fontId="9" fillId="3" borderId="1" xfId="1" applyNumberFormat="1" applyFont="1" applyFill="1" applyBorder="1" applyAlignment="1">
      <alignment horizontal="center" vertical="center" wrapText="1" shrinkToFit="1"/>
    </xf>
    <xf numFmtId="2" fontId="9" fillId="3" borderId="1" xfId="1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2" fontId="7" fillId="3" borderId="17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 wrapText="1" shrinkToFit="1"/>
    </xf>
    <xf numFmtId="2" fontId="4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2" fontId="7" fillId="0" borderId="30" xfId="0" applyNumberFormat="1" applyFont="1" applyFill="1" applyBorder="1" applyAlignment="1">
      <alignment horizontal="center"/>
    </xf>
    <xf numFmtId="2" fontId="9" fillId="0" borderId="30" xfId="0" applyNumberFormat="1" applyFont="1" applyFill="1" applyBorder="1" applyAlignment="1">
      <alignment horizontal="center"/>
    </xf>
    <xf numFmtId="2" fontId="7" fillId="0" borderId="31" xfId="0" applyNumberFormat="1" applyFont="1" applyFill="1" applyBorder="1" applyAlignment="1">
      <alignment horizontal="center"/>
    </xf>
    <xf numFmtId="2" fontId="9" fillId="0" borderId="31" xfId="0" applyNumberFormat="1" applyFont="1" applyFill="1" applyBorder="1" applyAlignment="1">
      <alignment horizontal="center"/>
    </xf>
    <xf numFmtId="2" fontId="7" fillId="0" borderId="32" xfId="0" applyNumberFormat="1" applyFont="1" applyFill="1" applyBorder="1" applyAlignment="1">
      <alignment horizontal="center"/>
    </xf>
    <xf numFmtId="2" fontId="9" fillId="0" borderId="32" xfId="0" applyNumberFormat="1" applyFont="1" applyFill="1" applyBorder="1" applyAlignment="1">
      <alignment horizontal="center"/>
    </xf>
    <xf numFmtId="0" fontId="9" fillId="3" borderId="37" xfId="0" applyFont="1" applyFill="1" applyBorder="1" applyAlignment="1">
      <alignment horizontal="center" vertical="center" wrapText="1"/>
    </xf>
    <xf numFmtId="0" fontId="7" fillId="0" borderId="30" xfId="0" applyFont="1" applyFill="1" applyBorder="1"/>
    <xf numFmtId="0" fontId="7" fillId="0" borderId="31" xfId="0" applyFont="1" applyFill="1" applyBorder="1"/>
    <xf numFmtId="0" fontId="9" fillId="0" borderId="0" xfId="0" applyFont="1" applyBorder="1"/>
    <xf numFmtId="2" fontId="9" fillId="3" borderId="38" xfId="0" applyNumberFormat="1" applyFont="1" applyFill="1" applyBorder="1" applyAlignment="1">
      <alignment horizontal="center" vertical="center" wrapText="1"/>
    </xf>
    <xf numFmtId="2" fontId="7" fillId="3" borderId="34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2" fontId="9" fillId="3" borderId="38" xfId="0" applyNumberFormat="1" applyFont="1" applyFill="1" applyBorder="1" applyAlignment="1">
      <alignment horizontal="center" vertical="center" wrapText="1" shrinkToFit="1"/>
    </xf>
    <xf numFmtId="2" fontId="7" fillId="3" borderId="1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Alignment="1">
      <alignment horizontal="right" wrapText="1"/>
    </xf>
    <xf numFmtId="2" fontId="7" fillId="0" borderId="0" xfId="1" applyNumberFormat="1" applyFont="1" applyAlignment="1">
      <alignment vertical="center"/>
    </xf>
    <xf numFmtId="2" fontId="8" fillId="0" borderId="0" xfId="1" applyNumberFormat="1" applyFont="1" applyBorder="1" applyAlignment="1">
      <alignment vertical="center"/>
    </xf>
    <xf numFmtId="2" fontId="7" fillId="0" borderId="16" xfId="1" applyNumberFormat="1" applyFont="1" applyFill="1" applyBorder="1" applyAlignment="1">
      <alignment vertical="center"/>
    </xf>
    <xf numFmtId="2" fontId="10" fillId="0" borderId="16" xfId="1" applyNumberFormat="1" applyFont="1" applyFill="1" applyBorder="1" applyAlignment="1">
      <alignment vertical="center"/>
    </xf>
    <xf numFmtId="2" fontId="9" fillId="0" borderId="12" xfId="1" applyNumberFormat="1" applyFont="1" applyFill="1" applyBorder="1"/>
    <xf numFmtId="2" fontId="7" fillId="0" borderId="0" xfId="1" applyNumberFormat="1" applyFont="1"/>
    <xf numFmtId="2" fontId="7" fillId="0" borderId="0" xfId="1" applyNumberFormat="1" applyFont="1" applyBorder="1"/>
    <xf numFmtId="2" fontId="7" fillId="0" borderId="2" xfId="1" applyNumberFormat="1" applyFont="1" applyFill="1" applyBorder="1" applyAlignment="1">
      <alignment horizontal="right" wrapText="1"/>
    </xf>
    <xf numFmtId="2" fontId="7" fillId="0" borderId="3" xfId="1" applyNumberFormat="1" applyFont="1" applyFill="1" applyBorder="1" applyAlignment="1">
      <alignment horizontal="right" wrapText="1"/>
    </xf>
    <xf numFmtId="2" fontId="7" fillId="0" borderId="21" xfId="0" applyNumberFormat="1" applyFont="1" applyFill="1" applyBorder="1" applyAlignment="1">
      <alignment horizontal="right" wrapText="1"/>
    </xf>
    <xf numFmtId="2" fontId="7" fillId="0" borderId="0" xfId="0" applyNumberFormat="1" applyFont="1" applyAlignment="1">
      <alignment horizontal="right" wrapText="1"/>
    </xf>
    <xf numFmtId="2" fontId="7" fillId="0" borderId="0" xfId="1" applyNumberFormat="1" applyFont="1" applyBorder="1" applyAlignment="1">
      <alignment horizontal="right" wrapText="1"/>
    </xf>
    <xf numFmtId="2" fontId="7" fillId="0" borderId="22" xfId="1" applyNumberFormat="1" applyFont="1" applyBorder="1" applyAlignment="1">
      <alignment horizontal="right" wrapText="1"/>
    </xf>
    <xf numFmtId="2" fontId="9" fillId="0" borderId="8" xfId="1" applyNumberFormat="1" applyFont="1" applyBorder="1" applyAlignment="1">
      <alignment horizontal="right" wrapText="1"/>
    </xf>
    <xf numFmtId="2" fontId="9" fillId="0" borderId="23" xfId="1" applyNumberFormat="1" applyFont="1" applyBorder="1" applyAlignment="1">
      <alignment horizontal="right" wrapText="1"/>
    </xf>
    <xf numFmtId="2" fontId="9" fillId="0" borderId="0" xfId="0" applyNumberFormat="1" applyFont="1" applyAlignment="1">
      <alignment horizontal="right" wrapText="1"/>
    </xf>
    <xf numFmtId="2" fontId="9" fillId="0" borderId="0" xfId="0" applyNumberFormat="1" applyFont="1" applyBorder="1" applyAlignment="1">
      <alignment horizontal="right" wrapText="1"/>
    </xf>
    <xf numFmtId="2" fontId="7" fillId="0" borderId="0" xfId="0" applyNumberFormat="1" applyFont="1" applyAlignment="1">
      <alignment horizontal="center"/>
    </xf>
    <xf numFmtId="2" fontId="15" fillId="0" borderId="16" xfId="1" applyNumberFormat="1" applyFont="1" applyBorder="1" applyAlignment="1">
      <alignment horizontal="center" vertical="center"/>
    </xf>
    <xf numFmtId="2" fontId="15" fillId="0" borderId="7" xfId="1" applyNumberFormat="1" applyFont="1" applyBorder="1" applyAlignment="1">
      <alignment horizontal="center" vertical="center"/>
    </xf>
    <xf numFmtId="2" fontId="15" fillId="0" borderId="2" xfId="1" applyNumberFormat="1" applyFont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2" fontId="20" fillId="0" borderId="16" xfId="1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7" fillId="0" borderId="0" xfId="0" applyFont="1" applyAlignment="1"/>
    <xf numFmtId="0" fontId="9" fillId="0" borderId="0" xfId="0" applyFont="1" applyAlignment="1">
      <alignment horizontal="center" wrapText="1"/>
    </xf>
    <xf numFmtId="0" fontId="26" fillId="0" borderId="6" xfId="0" applyFont="1" applyFill="1" applyBorder="1" applyAlignment="1">
      <alignment vertical="center"/>
    </xf>
    <xf numFmtId="0" fontId="26" fillId="0" borderId="2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30" fillId="0" borderId="0" xfId="0" applyFont="1" applyAlignment="1">
      <alignment horizontal="center" wrapText="1"/>
    </xf>
    <xf numFmtId="2" fontId="30" fillId="0" borderId="0" xfId="0" applyNumberFormat="1" applyFont="1"/>
    <xf numFmtId="0" fontId="30" fillId="0" borderId="0" xfId="0" applyFont="1"/>
    <xf numFmtId="0" fontId="30" fillId="0" borderId="0" xfId="0" applyFont="1" applyAlignment="1"/>
    <xf numFmtId="0" fontId="25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31" fillId="0" borderId="21" xfId="0" applyFont="1" applyBorder="1" applyAlignment="1">
      <alignment vertical="center" wrapText="1"/>
    </xf>
    <xf numFmtId="8" fontId="31" fillId="0" borderId="21" xfId="0" applyNumberFormat="1" applyFont="1" applyBorder="1" applyAlignment="1">
      <alignment vertical="center"/>
    </xf>
    <xf numFmtId="0" fontId="31" fillId="0" borderId="21" xfId="0" applyFont="1" applyBorder="1" applyAlignment="1">
      <alignment horizontal="center" vertical="center"/>
    </xf>
    <xf numFmtId="0" fontId="31" fillId="0" borderId="21" xfId="0" applyFont="1" applyBorder="1" applyAlignment="1">
      <alignment horizontal="right" vertical="center"/>
    </xf>
    <xf numFmtId="8" fontId="32" fillId="2" borderId="6" xfId="2" applyNumberFormat="1" applyFont="1" applyFill="1" applyBorder="1" applyAlignment="1">
      <alignment vertical="center"/>
    </xf>
    <xf numFmtId="2" fontId="7" fillId="0" borderId="28" xfId="0" applyNumberFormat="1" applyFont="1" applyBorder="1" applyAlignment="1">
      <alignment horizontal="center" wrapText="1"/>
    </xf>
    <xf numFmtId="10" fontId="7" fillId="0" borderId="0" xfId="0" applyNumberFormat="1" applyFont="1" applyFill="1" applyBorder="1"/>
    <xf numFmtId="0" fontId="26" fillId="0" borderId="16" xfId="0" applyFont="1" applyBorder="1" applyAlignment="1">
      <alignment horizontal="center" vertical="center"/>
    </xf>
    <xf numFmtId="2" fontId="31" fillId="0" borderId="6" xfId="3" applyNumberFormat="1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4" fillId="0" borderId="6" xfId="0" applyFont="1" applyBorder="1" applyAlignment="1">
      <alignment horizontal="center" vertical="center"/>
    </xf>
    <xf numFmtId="2" fontId="15" fillId="0" borderId="16" xfId="1" applyNumberFormat="1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 wrapText="1"/>
    </xf>
    <xf numFmtId="2" fontId="9" fillId="3" borderId="44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0" fontId="8" fillId="4" borderId="24" xfId="0" applyFont="1" applyFill="1" applyBorder="1" applyAlignment="1">
      <alignment vertical="center"/>
    </xf>
    <xf numFmtId="2" fontId="9" fillId="4" borderId="25" xfId="0" applyNumberFormat="1" applyFont="1" applyFill="1" applyBorder="1" applyAlignment="1">
      <alignment horizontal="center" wrapText="1"/>
    </xf>
    <xf numFmtId="2" fontId="9" fillId="4" borderId="26" xfId="0" applyNumberFormat="1" applyFont="1" applyFill="1" applyBorder="1" applyAlignment="1">
      <alignment horizontal="center" wrapText="1"/>
    </xf>
    <xf numFmtId="0" fontId="8" fillId="4" borderId="24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164" fontId="9" fillId="0" borderId="31" xfId="1" applyFont="1" applyBorder="1" applyAlignment="1">
      <alignment horizontal="center" vertical="center"/>
    </xf>
    <xf numFmtId="164" fontId="7" fillId="0" borderId="31" xfId="1" applyFont="1" applyBorder="1" applyAlignment="1">
      <alignment horizontal="center"/>
    </xf>
    <xf numFmtId="164" fontId="7" fillId="0" borderId="46" xfId="1" applyFont="1" applyBorder="1" applyAlignment="1">
      <alignment horizontal="center"/>
    </xf>
    <xf numFmtId="164" fontId="7" fillId="0" borderId="48" xfId="1" applyFont="1" applyBorder="1" applyAlignment="1">
      <alignment horizontal="center"/>
    </xf>
    <xf numFmtId="44" fontId="7" fillId="0" borderId="0" xfId="0" applyNumberFormat="1" applyFont="1"/>
    <xf numFmtId="0" fontId="24" fillId="0" borderId="0" xfId="0" applyFont="1" applyBorder="1" applyAlignment="1">
      <alignment horizontal="center" vertical="center" wrapText="1"/>
    </xf>
    <xf numFmtId="4" fontId="24" fillId="0" borderId="0" xfId="0" applyNumberFormat="1" applyFont="1" applyBorder="1" applyAlignment="1">
      <alignment horizontal="center" vertical="center" wrapText="1"/>
    </xf>
    <xf numFmtId="4" fontId="24" fillId="0" borderId="0" xfId="0" applyNumberFormat="1" applyFont="1" applyBorder="1" applyAlignment="1">
      <alignment horizontal="center" vertical="center"/>
    </xf>
    <xf numFmtId="8" fontId="32" fillId="2" borderId="6" xfId="2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2" fontId="31" fillId="2" borderId="6" xfId="2" applyNumberFormat="1" applyFont="1" applyFill="1" applyBorder="1" applyAlignment="1">
      <alignment horizontal="center" vertical="center"/>
    </xf>
    <xf numFmtId="44" fontId="4" fillId="0" borderId="0" xfId="2" applyFont="1"/>
    <xf numFmtId="0" fontId="28" fillId="0" borderId="0" xfId="0" applyFont="1" applyFill="1" applyBorder="1" applyAlignment="1">
      <alignment horizontal="left" vertical="center" wrapText="1"/>
    </xf>
    <xf numFmtId="0" fontId="16" fillId="0" borderId="41" xfId="0" applyFont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wrapText="1"/>
    </xf>
    <xf numFmtId="0" fontId="7" fillId="0" borderId="47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2" fontId="16" fillId="0" borderId="0" xfId="0" applyNumberFormat="1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 vertical="center" wrapText="1"/>
    </xf>
    <xf numFmtId="1" fontId="32" fillId="0" borderId="0" xfId="2" applyNumberFormat="1" applyFont="1" applyFill="1" applyBorder="1" applyAlignment="1">
      <alignment horizontal="center" vertical="center"/>
    </xf>
    <xf numFmtId="0" fontId="13" fillId="0" borderId="49" xfId="0" applyFont="1" applyBorder="1" applyAlignment="1">
      <alignment vertical="center"/>
    </xf>
    <xf numFmtId="164" fontId="7" fillId="0" borderId="50" xfId="1" applyFont="1" applyBorder="1" applyAlignment="1">
      <alignment horizontal="center"/>
    </xf>
    <xf numFmtId="164" fontId="7" fillId="0" borderId="51" xfId="1" applyFont="1" applyBorder="1" applyAlignment="1">
      <alignment horizontal="center"/>
    </xf>
    <xf numFmtId="164" fontId="9" fillId="0" borderId="53" xfId="1" applyFont="1" applyBorder="1" applyAlignment="1">
      <alignment horizontal="center" vertical="center"/>
    </xf>
    <xf numFmtId="164" fontId="9" fillId="0" borderId="52" xfId="1" applyFont="1" applyBorder="1" applyAlignment="1">
      <alignment horizontal="center" vertical="center"/>
    </xf>
    <xf numFmtId="164" fontId="7" fillId="0" borderId="53" xfId="1" applyFont="1" applyBorder="1" applyAlignment="1">
      <alignment horizontal="center"/>
    </xf>
    <xf numFmtId="164" fontId="7" fillId="0" borderId="54" xfId="1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center" vertical="center"/>
    </xf>
    <xf numFmtId="4" fontId="32" fillId="0" borderId="0" xfId="1" applyNumberFormat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8" fontId="32" fillId="2" borderId="4" xfId="2" applyNumberFormat="1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 wrapText="1" shrinkToFit="1"/>
    </xf>
    <xf numFmtId="2" fontId="9" fillId="0" borderId="31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Alignment="1">
      <alignment vertical="center"/>
    </xf>
    <xf numFmtId="0" fontId="9" fillId="0" borderId="4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2" fontId="7" fillId="0" borderId="32" xfId="0" applyNumberFormat="1" applyFont="1" applyBorder="1" applyAlignment="1">
      <alignment horizontal="center"/>
    </xf>
    <xf numFmtId="2" fontId="9" fillId="0" borderId="32" xfId="0" applyNumberFormat="1" applyFont="1" applyBorder="1" applyAlignment="1">
      <alignment horizontal="center"/>
    </xf>
    <xf numFmtId="2" fontId="7" fillId="0" borderId="55" xfId="0" applyNumberFormat="1" applyFont="1" applyBorder="1" applyAlignment="1">
      <alignment horizontal="center" wrapText="1"/>
    </xf>
    <xf numFmtId="2" fontId="7" fillId="0" borderId="0" xfId="1" applyNumberFormat="1" applyFont="1" applyBorder="1" applyAlignment="1">
      <alignment horizontal="center" vertical="center"/>
    </xf>
    <xf numFmtId="164" fontId="9" fillId="0" borderId="4" xfId="1" applyFont="1" applyFill="1" applyBorder="1" applyAlignment="1">
      <alignment horizontal="center" vertical="center" wrapText="1"/>
    </xf>
    <xf numFmtId="164" fontId="9" fillId="0" borderId="5" xfId="1" applyFont="1" applyFill="1" applyBorder="1" applyAlignment="1">
      <alignment horizontal="center" vertical="center"/>
    </xf>
    <xf numFmtId="4" fontId="25" fillId="0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44" fontId="32" fillId="2" borderId="6" xfId="2" applyFont="1" applyFill="1" applyBorder="1" applyAlignment="1">
      <alignment vertical="center"/>
    </xf>
    <xf numFmtId="2" fontId="9" fillId="0" borderId="31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2" fontId="7" fillId="0" borderId="2" xfId="1" applyNumberFormat="1" applyFont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left"/>
    </xf>
    <xf numFmtId="0" fontId="26" fillId="0" borderId="6" xfId="0" applyFont="1" applyBorder="1" applyAlignment="1">
      <alignment horizontal="left" vertical="center" wrapText="1"/>
    </xf>
    <xf numFmtId="8" fontId="7" fillId="0" borderId="6" xfId="2" applyNumberFormat="1" applyFont="1" applyFill="1" applyBorder="1" applyAlignment="1">
      <alignment horizontal="center" vertical="center"/>
    </xf>
    <xf numFmtId="8" fontId="4" fillId="0" borderId="0" xfId="0" applyNumberFormat="1" applyFont="1"/>
    <xf numFmtId="0" fontId="21" fillId="5" borderId="13" xfId="0" applyFont="1" applyFill="1" applyBorder="1" applyAlignment="1">
      <alignment vertical="center"/>
    </xf>
    <xf numFmtId="2" fontId="7" fillId="5" borderId="16" xfId="1" applyNumberFormat="1" applyFont="1" applyFill="1" applyBorder="1" applyAlignment="1">
      <alignment vertical="center"/>
    </xf>
    <xf numFmtId="2" fontId="21" fillId="0" borderId="0" xfId="1" applyNumberFormat="1" applyFont="1"/>
    <xf numFmtId="0" fontId="27" fillId="2" borderId="4" xfId="0" applyFont="1" applyFill="1" applyBorder="1" applyAlignment="1">
      <alignment horizontal="right" vertical="center" wrapText="1"/>
    </xf>
    <xf numFmtId="0" fontId="27" fillId="2" borderId="14" xfId="0" applyFont="1" applyFill="1" applyBorder="1" applyAlignment="1">
      <alignment horizontal="right" vertical="center" wrapText="1"/>
    </xf>
    <xf numFmtId="0" fontId="27" fillId="2" borderId="5" xfId="0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33" fillId="0" borderId="0" xfId="4" applyBorder="1" applyAlignment="1">
      <alignment horizontal="center" vertical="center" wrapText="1"/>
    </xf>
    <xf numFmtId="2" fontId="35" fillId="0" borderId="2" xfId="0" applyNumberFormat="1" applyFont="1" applyBorder="1" applyAlignment="1">
      <alignment horizontal="center" vertical="center" wrapText="1"/>
    </xf>
    <xf numFmtId="2" fontId="35" fillId="0" borderId="3" xfId="0" applyNumberFormat="1" applyFont="1" applyBorder="1" applyAlignment="1">
      <alignment horizontal="center" vertical="center" wrapText="1"/>
    </xf>
    <xf numFmtId="2" fontId="31" fillId="0" borderId="7" xfId="0" applyNumberFormat="1" applyFont="1" applyBorder="1" applyAlignment="1">
      <alignment horizontal="center" vertical="center"/>
    </xf>
    <xf numFmtId="2" fontId="31" fillId="0" borderId="3" xfId="0" applyNumberFormat="1" applyFont="1" applyBorder="1" applyAlignment="1">
      <alignment horizontal="center" vertical="center"/>
    </xf>
    <xf numFmtId="2" fontId="31" fillId="0" borderId="7" xfId="3" applyNumberFormat="1" applyFont="1" applyBorder="1" applyAlignment="1">
      <alignment horizontal="center" vertical="center"/>
    </xf>
    <xf numFmtId="2" fontId="31" fillId="0" borderId="3" xfId="3" applyNumberFormat="1" applyFont="1" applyBorder="1" applyAlignment="1">
      <alignment horizontal="center" vertical="center"/>
    </xf>
    <xf numFmtId="8" fontId="31" fillId="0" borderId="7" xfId="0" applyNumberFormat="1" applyFont="1" applyBorder="1" applyAlignment="1">
      <alignment horizontal="right" vertical="center"/>
    </xf>
    <xf numFmtId="8" fontId="31" fillId="0" borderId="3" xfId="0" applyNumberFormat="1" applyFont="1" applyBorder="1" applyAlignment="1">
      <alignment horizontal="right" vertical="center"/>
    </xf>
    <xf numFmtId="0" fontId="28" fillId="0" borderId="0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left" vertical="center" wrapText="1"/>
    </xf>
    <xf numFmtId="1" fontId="32" fillId="2" borderId="11" xfId="2" applyNumberFormat="1" applyFont="1" applyFill="1" applyBorder="1" applyAlignment="1">
      <alignment horizontal="center" vertical="center"/>
    </xf>
    <xf numFmtId="1" fontId="32" fillId="2" borderId="12" xfId="2" applyNumberFormat="1" applyFont="1" applyFill="1" applyBorder="1" applyAlignment="1">
      <alignment horizontal="center" vertical="center"/>
    </xf>
    <xf numFmtId="44" fontId="32" fillId="2" borderId="11" xfId="2" applyFont="1" applyFill="1" applyBorder="1" applyAlignment="1">
      <alignment horizontal="center" vertical="center"/>
    </xf>
    <xf numFmtId="44" fontId="32" fillId="2" borderId="12" xfId="2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 wrapText="1"/>
    </xf>
    <xf numFmtId="0" fontId="25" fillId="2" borderId="21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8" fontId="31" fillId="0" borderId="7" xfId="0" applyNumberFormat="1" applyFont="1" applyBorder="1" applyAlignment="1">
      <alignment horizontal="center" vertical="center"/>
    </xf>
    <xf numFmtId="8" fontId="31" fillId="0" borderId="3" xfId="0" applyNumberFormat="1" applyFont="1" applyBorder="1" applyAlignment="1">
      <alignment horizontal="center" vertical="center"/>
    </xf>
    <xf numFmtId="2" fontId="31" fillId="0" borderId="39" xfId="3" applyNumberFormat="1" applyFont="1" applyBorder="1" applyAlignment="1">
      <alignment horizontal="center" vertical="center"/>
    </xf>
    <xf numFmtId="2" fontId="31" fillId="0" borderId="40" xfId="3" applyNumberFormat="1" applyFont="1" applyBorder="1" applyAlignment="1">
      <alignment horizontal="center" vertical="center"/>
    </xf>
    <xf numFmtId="0" fontId="31" fillId="0" borderId="3" xfId="0" applyFont="1" applyBorder="1" applyAlignment="1">
      <alignment horizontal="right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8" fontId="31" fillId="0" borderId="11" xfId="0" applyNumberFormat="1" applyFont="1" applyBorder="1" applyAlignment="1">
      <alignment horizontal="right" vertical="center"/>
    </xf>
    <xf numFmtId="0" fontId="31" fillId="0" borderId="12" xfId="0" applyFont="1" applyBorder="1" applyAlignment="1">
      <alignment horizontal="right" vertical="center"/>
    </xf>
    <xf numFmtId="0" fontId="24" fillId="0" borderId="0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" fontId="25" fillId="0" borderId="38" xfId="0" applyNumberFormat="1" applyFont="1" applyFill="1" applyBorder="1" applyAlignment="1">
      <alignment horizontal="center" vertical="center" wrapText="1"/>
    </xf>
    <xf numFmtId="4" fontId="25" fillId="0" borderId="27" xfId="0" applyNumberFormat="1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4" fontId="25" fillId="0" borderId="38" xfId="0" applyNumberFormat="1" applyFont="1" applyFill="1" applyBorder="1" applyAlignment="1">
      <alignment horizontal="center" vertical="center"/>
    </xf>
    <xf numFmtId="4" fontId="25" fillId="0" borderId="27" xfId="0" applyNumberFormat="1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left" vertical="center" wrapText="1"/>
    </xf>
    <xf numFmtId="0" fontId="27" fillId="2" borderId="5" xfId="0" applyFont="1" applyFill="1" applyBorder="1" applyAlignment="1">
      <alignment horizontal="left" vertical="center" wrapText="1"/>
    </xf>
    <xf numFmtId="0" fontId="31" fillId="0" borderId="39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justify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/>
    </xf>
    <xf numFmtId="164" fontId="17" fillId="0" borderId="34" xfId="1" applyFont="1" applyFill="1" applyBorder="1" applyAlignment="1">
      <alignment horizontal="center" vertical="center" wrapText="1"/>
    </xf>
    <xf numFmtId="164" fontId="17" fillId="0" borderId="35" xfId="1" applyFont="1" applyFill="1" applyBorder="1" applyAlignment="1">
      <alignment horizontal="center" vertical="center" wrapText="1"/>
    </xf>
    <xf numFmtId="2" fontId="17" fillId="0" borderId="34" xfId="1" applyNumberFormat="1" applyFont="1" applyFill="1" applyBorder="1" applyAlignment="1">
      <alignment horizontal="center" vertical="center" wrapText="1"/>
    </xf>
    <xf numFmtId="2" fontId="17" fillId="0" borderId="35" xfId="1" applyNumberFormat="1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28" fillId="0" borderId="15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33" fillId="0" borderId="0" xfId="4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8" fontId="31" fillId="0" borderId="10" xfId="0" applyNumberFormat="1" applyFont="1" applyBorder="1" applyAlignment="1">
      <alignment horizontal="center" vertical="center"/>
    </xf>
    <xf numFmtId="8" fontId="31" fillId="0" borderId="18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2" fontId="17" fillId="0" borderId="17" xfId="0" applyNumberFormat="1" applyFont="1" applyFill="1" applyBorder="1" applyAlignment="1">
      <alignment horizontal="center" vertical="center" wrapText="1"/>
    </xf>
    <xf numFmtId="2" fontId="17" fillId="0" borderId="29" xfId="0" applyNumberFormat="1" applyFont="1" applyFill="1" applyBorder="1" applyAlignment="1">
      <alignment horizontal="center" vertical="center" wrapText="1"/>
    </xf>
    <xf numFmtId="1" fontId="32" fillId="2" borderId="7" xfId="2" applyNumberFormat="1" applyFont="1" applyFill="1" applyBorder="1" applyAlignment="1">
      <alignment horizontal="center" vertical="center"/>
    </xf>
    <xf numFmtId="1" fontId="32" fillId="2" borderId="3" xfId="2" applyNumberFormat="1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center" vertical="center"/>
    </xf>
    <xf numFmtId="2" fontId="35" fillId="0" borderId="7" xfId="0" applyNumberFormat="1" applyFont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justify" vertical="center" wrapText="1"/>
    </xf>
    <xf numFmtId="0" fontId="22" fillId="4" borderId="14" xfId="0" applyFont="1" applyFill="1" applyBorder="1" applyAlignment="1">
      <alignment horizontal="justify" vertical="center" wrapText="1"/>
    </xf>
    <xf numFmtId="0" fontId="22" fillId="4" borderId="5" xfId="0" applyFont="1" applyFill="1" applyBorder="1" applyAlignment="1">
      <alignment horizontal="justify" vertical="center" wrapText="1"/>
    </xf>
    <xf numFmtId="0" fontId="20" fillId="0" borderId="2" xfId="0" applyFont="1" applyBorder="1" applyAlignment="1">
      <alignment horizontal="justify" vertical="center" wrapText="1"/>
    </xf>
    <xf numFmtId="0" fontId="20" fillId="0" borderId="3" xfId="0" applyFont="1" applyBorder="1" applyAlignment="1">
      <alignment horizontal="justify" vertical="center" wrapText="1"/>
    </xf>
    <xf numFmtId="2" fontId="20" fillId="0" borderId="7" xfId="0" applyNumberFormat="1" applyFont="1" applyBorder="1" applyAlignment="1">
      <alignment horizontal="right" vertical="center" wrapText="1"/>
    </xf>
    <xf numFmtId="2" fontId="21" fillId="0" borderId="2" xfId="0" applyNumberFormat="1" applyFont="1" applyBorder="1" applyAlignment="1">
      <alignment horizontal="right" vertical="center" wrapText="1"/>
    </xf>
    <xf numFmtId="2" fontId="20" fillId="0" borderId="2" xfId="0" applyNumberFormat="1" applyFont="1" applyBorder="1" applyAlignment="1">
      <alignment horizontal="right" vertical="center" wrapText="1"/>
    </xf>
    <xf numFmtId="2" fontId="20" fillId="0" borderId="3" xfId="0" applyNumberFormat="1" applyFont="1" applyBorder="1" applyAlignment="1">
      <alignment horizontal="right" vertical="center" wrapText="1"/>
    </xf>
    <xf numFmtId="2" fontId="21" fillId="0" borderId="16" xfId="0" applyNumberFormat="1" applyFont="1" applyBorder="1" applyAlignment="1">
      <alignment horizontal="right" wrapText="1"/>
    </xf>
    <xf numFmtId="2" fontId="21" fillId="0" borderId="12" xfId="0" applyNumberFormat="1" applyFont="1" applyBorder="1" applyAlignment="1">
      <alignment horizontal="right" wrapText="1"/>
    </xf>
    <xf numFmtId="2" fontId="20" fillId="0" borderId="13" xfId="0" applyNumberFormat="1" applyFont="1" applyBorder="1" applyAlignment="1">
      <alignment horizontal="right" vertical="center" wrapText="1"/>
    </xf>
    <xf numFmtId="2" fontId="20" fillId="0" borderId="16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justify" vertical="center" wrapText="1"/>
    </xf>
    <xf numFmtId="0" fontId="14" fillId="0" borderId="15" xfId="0" applyFont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14" xfId="0" applyFont="1" applyFill="1" applyBorder="1" applyAlignment="1">
      <alignment horizontal="justify" vertical="center" wrapText="1"/>
    </xf>
    <xf numFmtId="0" fontId="8" fillId="4" borderId="21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2" fontId="15" fillId="0" borderId="7" xfId="0" applyNumberFormat="1" applyFont="1" applyBorder="1" applyAlignment="1">
      <alignment horizontal="right" vertical="center" wrapText="1"/>
    </xf>
    <xf numFmtId="2" fontId="7" fillId="0" borderId="2" xfId="0" applyNumberFormat="1" applyFont="1" applyBorder="1" applyAlignment="1">
      <alignment horizontal="right" vertical="center" wrapText="1"/>
    </xf>
    <xf numFmtId="2" fontId="15" fillId="0" borderId="2" xfId="0" applyNumberFormat="1" applyFont="1" applyBorder="1" applyAlignment="1">
      <alignment horizontal="right" vertical="center" wrapText="1"/>
    </xf>
    <xf numFmtId="2" fontId="15" fillId="0" borderId="3" xfId="0" applyNumberFormat="1" applyFont="1" applyBorder="1" applyAlignment="1">
      <alignment horizontal="right" vertical="center" wrapText="1"/>
    </xf>
    <xf numFmtId="2" fontId="15" fillId="0" borderId="13" xfId="0" applyNumberFormat="1" applyFont="1" applyBorder="1" applyAlignment="1">
      <alignment horizontal="right" vertical="center" wrapText="1"/>
    </xf>
    <xf numFmtId="2" fontId="15" fillId="0" borderId="16" xfId="0" applyNumberFormat="1" applyFont="1" applyBorder="1" applyAlignment="1">
      <alignment horizontal="right" vertical="center" wrapText="1"/>
    </xf>
    <xf numFmtId="0" fontId="8" fillId="4" borderId="4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2" fontId="7" fillId="0" borderId="16" xfId="0" applyNumberFormat="1" applyFont="1" applyBorder="1" applyAlignment="1">
      <alignment horizontal="right" wrapText="1"/>
    </xf>
    <xf numFmtId="2" fontId="7" fillId="0" borderId="12" xfId="0" applyNumberFormat="1" applyFont="1" applyBorder="1" applyAlignment="1">
      <alignment horizontal="right" wrapText="1"/>
    </xf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9" defaultPivotStyle="PivotStyleLight16"/>
  <colors>
    <mruColors>
      <color rgb="FFC0C0C0"/>
      <color rgb="FF0033CC"/>
      <color rgb="FF0000CC"/>
      <color rgb="FF0000FF"/>
      <color rgb="FF3399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discodered.umhnet.es\qy_serviciopas$\pic\CONVOCATORIAS%20DE%20INVESTIGACION\CONVOCATORIA%20INVESTIGACION\AA_INDEMNIZACIONES%20para%20abono%20y%20reclamaciones\CALCULO%20INDEMNIZACION%2012%20DIAS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file:///\\discodered.umhnet.es\qy_serviciopas$\pic\CONVOCATORIAS%20DE%20INVESTIGACION\CONVOCATORIA%20INVESTIGACION\AA_INDEMNIZACIONES%20para%20abono%20y%20reclamaciones\CALCULO%20RC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file:///\\discodered.umhnet.es\qy_serviciopas$\pic\CONVOCATORIAS%20DE%20INVESTIGACION\CONVOCATORIA%20INVESTIGACION\AA_INDEMNIZACIONES%20para%20abono%20y%20reclamaciones\CALCULO%20INDEMNIZACION%2012%20DIAS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\\discodered.umhnet.es\qy_serviciopas$\pic\CONVOCATORIAS%20DE%20INVESTIGACION\CONVOCATORIA%20INVESTIGACION\AA_INDEMNIZACIONES%20para%20abono%20y%20reclamaciones\CALCULO%20RC.xls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file:///\\discodered.umhnet.es\qy_serviciopas$\pic\CONVOCATORIAS%20DE%20INVESTIGACION\CONVOCATORIA%20INVESTIGACION\AA_INDEMNIZACIONES%20para%20abono%20y%20reclamaciones\CALCULO%20RC.xls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file:///\\discodered.umhnet.es\qy_serviciopas$\pic\CONVOCATORIAS%20DE%20INVESTIGACION\CONVOCATORIA%20INVESTIGACION\AA_INDEMNIZACIONES%20para%20abono%20y%20reclamaciones\CALCULO%20RC.xls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file:///\\discodered.umhnet.es\qy_serviciopas$\pic\CONVOCATORIAS%20DE%20INVESTIGACION\CONVOCATORIA%20INVESTIGACION\AA_INDEMNIZACIONES%20para%20abono%20y%20reclamaciones\CALCULO%20RC.xlsx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file:///\\discodered.umhnet.es\qy_serviciopas$\pic\CONVOCATORIAS%20DE%20INVESTIGACION\CONVOCATORIA%20INVESTIGACION\AA_INDEMNIZACIONES%20para%20abono%20y%20reclamaciones\CALCULO%20RC.xlsx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opLeftCell="A28" zoomScaleNormal="100" workbookViewId="0">
      <selection activeCell="A34" sqref="A34:XFD34"/>
    </sheetView>
  </sheetViews>
  <sheetFormatPr baseColWidth="10" defaultColWidth="11.54296875" defaultRowHeight="13.5" x14ac:dyDescent="0.3"/>
  <cols>
    <col min="1" max="1" width="15" style="33" customWidth="1"/>
    <col min="2" max="2" width="21.1796875" style="33" customWidth="1"/>
    <col min="3" max="3" width="16.54296875" style="33" hidden="1" customWidth="1"/>
    <col min="4" max="4" width="14.453125" style="116" customWidth="1"/>
    <col min="5" max="5" width="18.1796875" style="8" customWidth="1"/>
    <col min="6" max="6" width="24.81640625" style="8" customWidth="1"/>
    <col min="7" max="7" width="18.453125" style="8" customWidth="1"/>
    <col min="8" max="8" width="11.54296875" style="8"/>
    <col min="9" max="9" width="19.81640625" style="35" customWidth="1"/>
    <col min="10" max="10" width="19.453125" style="19" customWidth="1"/>
    <col min="11" max="11" width="18.81640625" style="8" customWidth="1"/>
    <col min="12" max="12" width="17.81640625" style="115" customWidth="1"/>
    <col min="13" max="13" width="16" style="8" customWidth="1"/>
    <col min="14" max="16384" width="11.54296875" style="8"/>
  </cols>
  <sheetData>
    <row r="1" spans="1:13" ht="51.75" customHeight="1" x14ac:dyDescent="0.3">
      <c r="A1" s="256" t="s">
        <v>107</v>
      </c>
      <c r="B1" s="257"/>
      <c r="C1" s="257"/>
      <c r="D1" s="257"/>
      <c r="E1" s="257"/>
      <c r="F1" s="257"/>
      <c r="G1" s="257"/>
    </row>
    <row r="2" spans="1:13" s="36" customFormat="1" ht="28.5" customHeight="1" x14ac:dyDescent="0.25">
      <c r="A2" s="44"/>
      <c r="B2" s="262" t="s">
        <v>47</v>
      </c>
      <c r="C2" s="262"/>
      <c r="D2" s="262"/>
      <c r="E2" s="42"/>
      <c r="F2" s="262" t="s">
        <v>48</v>
      </c>
      <c r="G2" s="263"/>
      <c r="I2" s="258" t="s">
        <v>50</v>
      </c>
      <c r="J2" s="258"/>
      <c r="K2" s="258"/>
      <c r="L2" s="258" t="s">
        <v>54</v>
      </c>
      <c r="M2" s="258"/>
    </row>
    <row r="3" spans="1:13" s="27" customFormat="1" ht="40.5" x14ac:dyDescent="0.3">
      <c r="A3" s="43" t="s">
        <v>45</v>
      </c>
      <c r="B3" s="40" t="s">
        <v>46</v>
      </c>
      <c r="C3" s="40" t="s">
        <v>51</v>
      </c>
      <c r="D3" s="188" t="s">
        <v>113</v>
      </c>
      <c r="E3" s="40" t="s">
        <v>45</v>
      </c>
      <c r="F3" s="40" t="s">
        <v>46</v>
      </c>
      <c r="G3" s="41" t="s">
        <v>114</v>
      </c>
      <c r="I3" s="124" t="s">
        <v>49</v>
      </c>
      <c r="J3" s="124" t="s">
        <v>60</v>
      </c>
      <c r="K3" s="124" t="s">
        <v>61</v>
      </c>
      <c r="L3" s="125" t="s">
        <v>52</v>
      </c>
      <c r="M3" s="124" t="s">
        <v>53</v>
      </c>
    </row>
    <row r="4" spans="1:13" ht="16.5" customHeight="1" x14ac:dyDescent="0.3">
      <c r="A4" s="37">
        <v>37.5</v>
      </c>
      <c r="B4" s="45">
        <f>PARAMETROS!B2</f>
        <v>2770.1867375000002</v>
      </c>
      <c r="C4" s="45"/>
      <c r="D4" s="131"/>
      <c r="E4" s="37">
        <v>37.5</v>
      </c>
      <c r="F4" s="45">
        <f>PARAMETROS!C2</f>
        <v>3601.2424875000006</v>
      </c>
      <c r="G4" s="45">
        <f>IF(F4&gt;=$K$4,$K$4*$K$18%,F4*$K$18%)</f>
        <v>1194.8922573525001</v>
      </c>
      <c r="I4" s="259">
        <v>1</v>
      </c>
      <c r="J4" s="260">
        <v>1847.4</v>
      </c>
      <c r="K4" s="260">
        <v>4720.5</v>
      </c>
      <c r="L4" s="264">
        <v>1323</v>
      </c>
      <c r="M4" s="260">
        <v>4720.5</v>
      </c>
    </row>
    <row r="5" spans="1:13" ht="16.5" customHeight="1" x14ac:dyDescent="0.3">
      <c r="A5" s="38">
        <v>36</v>
      </c>
      <c r="B5" s="46">
        <f>(PRODUCT(B$4,A5)/A$4)</f>
        <v>2659.3792680000001</v>
      </c>
      <c r="C5" s="189">
        <f>((A5/$A$4*7.5*5)/7)*30*$D$43</f>
        <v>1717.2000000000003</v>
      </c>
      <c r="D5" s="131">
        <f t="shared" ref="D5:D40" si="0">IF(B5&lt;C5,C5*$K$18%,B5*$K$18%)</f>
        <v>882.38204112239998</v>
      </c>
      <c r="E5" s="38">
        <v>36</v>
      </c>
      <c r="F5" s="46">
        <f t="shared" ref="F5:F40" si="1">PRODUCT(F$4,E5)/E$4</f>
        <v>3457.1927880000003</v>
      </c>
      <c r="G5" s="46">
        <f t="shared" ref="G5:G40" si="2">IF(F5&gt;=$K$4,$K$4*$K$18%,F5*$K$18%)</f>
        <v>1147.0965670584001</v>
      </c>
      <c r="I5" s="259"/>
      <c r="J5" s="261"/>
      <c r="K5" s="261"/>
      <c r="L5" s="265"/>
      <c r="M5" s="261"/>
    </row>
    <row r="6" spans="1:13" ht="16.5" customHeight="1" x14ac:dyDescent="0.3">
      <c r="A6" s="38">
        <v>35</v>
      </c>
      <c r="B6" s="46">
        <f t="shared" ref="B6:B40" si="3">(PRODUCT(B$4,A6)/A$4)</f>
        <v>2585.5076216666666</v>
      </c>
      <c r="C6" s="189">
        <f t="shared" ref="C6:C40" si="4">((A6/A$4*7.5*5)/7)*30*$D$43</f>
        <v>1669.5000000000002</v>
      </c>
      <c r="D6" s="131">
        <f t="shared" si="0"/>
        <v>857.87142886899994</v>
      </c>
      <c r="E6" s="38">
        <v>35</v>
      </c>
      <c r="F6" s="46">
        <f t="shared" si="1"/>
        <v>3361.1596550000004</v>
      </c>
      <c r="G6" s="46">
        <f t="shared" si="2"/>
        <v>1115.232773529</v>
      </c>
      <c r="J6" s="8"/>
    </row>
    <row r="7" spans="1:13" ht="16.5" customHeight="1" thickBot="1" x14ac:dyDescent="0.35">
      <c r="A7" s="38">
        <v>34</v>
      </c>
      <c r="B7" s="46">
        <f t="shared" si="3"/>
        <v>2511.6359753333336</v>
      </c>
      <c r="C7" s="189">
        <f t="shared" si="4"/>
        <v>1621.8</v>
      </c>
      <c r="D7" s="131">
        <f t="shared" si="0"/>
        <v>833.36081661560002</v>
      </c>
      <c r="E7" s="38">
        <v>34</v>
      </c>
      <c r="F7" s="46">
        <f t="shared" si="1"/>
        <v>3265.1265220000005</v>
      </c>
      <c r="G7" s="46">
        <f t="shared" si="2"/>
        <v>1083.3689799996</v>
      </c>
    </row>
    <row r="8" spans="1:13" ht="16.5" customHeight="1" x14ac:dyDescent="0.3">
      <c r="A8" s="38">
        <v>33</v>
      </c>
      <c r="B8" s="46">
        <f t="shared" si="3"/>
        <v>2437.7643290000001</v>
      </c>
      <c r="C8" s="189">
        <f t="shared" si="4"/>
        <v>1574.1000000000004</v>
      </c>
      <c r="D8" s="131">
        <f t="shared" si="0"/>
        <v>808.85020436219997</v>
      </c>
      <c r="E8" s="38">
        <v>33</v>
      </c>
      <c r="F8" s="46">
        <f t="shared" si="1"/>
        <v>3169.0933890000006</v>
      </c>
      <c r="G8" s="46">
        <f t="shared" si="2"/>
        <v>1051.5051864702002</v>
      </c>
      <c r="I8" s="234" t="s">
        <v>87</v>
      </c>
      <c r="J8" s="234"/>
      <c r="K8" s="235"/>
      <c r="L8" s="238">
        <v>0</v>
      </c>
    </row>
    <row r="9" spans="1:13" ht="16.5" customHeight="1" thickBot="1" x14ac:dyDescent="0.35">
      <c r="A9" s="38">
        <v>32</v>
      </c>
      <c r="B9" s="46">
        <f t="shared" si="3"/>
        <v>2363.8926826666666</v>
      </c>
      <c r="C9" s="189">
        <f t="shared" si="4"/>
        <v>1526.4</v>
      </c>
      <c r="D9" s="131">
        <f t="shared" si="0"/>
        <v>784.33959210879993</v>
      </c>
      <c r="E9" s="38">
        <v>32</v>
      </c>
      <c r="F9" s="46">
        <f t="shared" si="1"/>
        <v>3073.0602560000007</v>
      </c>
      <c r="G9" s="46">
        <f t="shared" si="2"/>
        <v>1019.6413929408002</v>
      </c>
      <c r="I9" s="234"/>
      <c r="J9" s="234"/>
      <c r="K9" s="235"/>
      <c r="L9" s="239"/>
    </row>
    <row r="10" spans="1:13" ht="16.5" customHeight="1" thickBot="1" x14ac:dyDescent="0.35">
      <c r="A10" s="38">
        <v>31</v>
      </c>
      <c r="B10" s="46">
        <f t="shared" si="3"/>
        <v>2290.0210363333335</v>
      </c>
      <c r="C10" s="189">
        <f t="shared" si="4"/>
        <v>1478.7</v>
      </c>
      <c r="D10" s="131">
        <f t="shared" si="0"/>
        <v>759.82897985540001</v>
      </c>
      <c r="E10" s="38">
        <v>31</v>
      </c>
      <c r="F10" s="46">
        <f t="shared" si="1"/>
        <v>2977.0271230000003</v>
      </c>
      <c r="G10" s="46">
        <f t="shared" si="2"/>
        <v>987.77759941140005</v>
      </c>
      <c r="I10" s="120"/>
      <c r="J10" s="121"/>
      <c r="K10" s="122"/>
      <c r="L10" s="123"/>
    </row>
    <row r="11" spans="1:13" ht="16.5" customHeight="1" x14ac:dyDescent="0.3">
      <c r="A11" s="38">
        <v>30</v>
      </c>
      <c r="B11" s="46">
        <f t="shared" si="3"/>
        <v>2216.14939</v>
      </c>
      <c r="C11" s="189">
        <f t="shared" si="4"/>
        <v>1431</v>
      </c>
      <c r="D11" s="131">
        <f t="shared" si="0"/>
        <v>735.31836760199997</v>
      </c>
      <c r="E11" s="38">
        <v>30</v>
      </c>
      <c r="F11" s="46">
        <f t="shared" si="1"/>
        <v>2880.9939900000004</v>
      </c>
      <c r="G11" s="46">
        <f t="shared" si="2"/>
        <v>955.91380588200013</v>
      </c>
      <c r="I11" s="240" t="s">
        <v>62</v>
      </c>
      <c r="J11" s="241"/>
      <c r="K11" s="241"/>
      <c r="L11" s="242"/>
    </row>
    <row r="12" spans="1:13" ht="16.5" customHeight="1" thickBot="1" x14ac:dyDescent="0.35">
      <c r="A12" s="38">
        <v>29</v>
      </c>
      <c r="B12" s="46">
        <f t="shared" si="3"/>
        <v>2142.277743666667</v>
      </c>
      <c r="C12" s="189">
        <f t="shared" si="4"/>
        <v>1383.3000000000002</v>
      </c>
      <c r="D12" s="131">
        <f t="shared" si="0"/>
        <v>710.80775534860004</v>
      </c>
      <c r="E12" s="38">
        <v>29</v>
      </c>
      <c r="F12" s="46">
        <f t="shared" si="1"/>
        <v>2784.9608570000005</v>
      </c>
      <c r="G12" s="46">
        <f t="shared" si="2"/>
        <v>924.05001235260011</v>
      </c>
      <c r="I12" s="243"/>
      <c r="J12" s="244"/>
      <c r="K12" s="244"/>
      <c r="L12" s="245"/>
    </row>
    <row r="13" spans="1:13" ht="16.5" customHeight="1" thickBot="1" x14ac:dyDescent="0.35">
      <c r="A13" s="38">
        <v>28</v>
      </c>
      <c r="B13" s="46">
        <f t="shared" si="3"/>
        <v>2068.4060973333335</v>
      </c>
      <c r="C13" s="189">
        <f t="shared" si="4"/>
        <v>1335.6000000000004</v>
      </c>
      <c r="D13" s="131">
        <f t="shared" si="0"/>
        <v>686.2971430952</v>
      </c>
      <c r="E13" s="38">
        <v>28</v>
      </c>
      <c r="F13" s="46">
        <f t="shared" si="1"/>
        <v>2688.9277240000006</v>
      </c>
      <c r="G13" s="46">
        <f t="shared" si="2"/>
        <v>892.18621882320019</v>
      </c>
      <c r="I13" s="117"/>
      <c r="J13" s="118" t="s">
        <v>55</v>
      </c>
      <c r="K13" s="133" t="s">
        <v>56</v>
      </c>
      <c r="L13" s="119" t="s">
        <v>57</v>
      </c>
    </row>
    <row r="14" spans="1:13" ht="16.5" customHeight="1" x14ac:dyDescent="0.3">
      <c r="A14" s="38">
        <v>27</v>
      </c>
      <c r="B14" s="46">
        <f t="shared" si="3"/>
        <v>1994.5344510000002</v>
      </c>
      <c r="C14" s="189">
        <f t="shared" si="4"/>
        <v>1287.9000000000001</v>
      </c>
      <c r="D14" s="131">
        <f t="shared" si="0"/>
        <v>661.78653084180007</v>
      </c>
      <c r="E14" s="38">
        <v>27</v>
      </c>
      <c r="F14" s="46">
        <f t="shared" si="1"/>
        <v>2592.8945910000007</v>
      </c>
      <c r="G14" s="46">
        <f t="shared" si="2"/>
        <v>860.32242529380017</v>
      </c>
      <c r="I14" s="268" t="s">
        <v>58</v>
      </c>
      <c r="J14" s="246">
        <f>IF(L8&gt;=J4,L8,J4)</f>
        <v>1847.4</v>
      </c>
      <c r="K14" s="248">
        <v>24.18</v>
      </c>
      <c r="L14" s="253">
        <f>J14*K14%</f>
        <v>446.70132000000001</v>
      </c>
    </row>
    <row r="15" spans="1:13" ht="16.5" customHeight="1" thickBot="1" x14ac:dyDescent="0.35">
      <c r="A15" s="38">
        <v>26</v>
      </c>
      <c r="B15" s="46">
        <f t="shared" si="3"/>
        <v>1920.6628046666667</v>
      </c>
      <c r="C15" s="189">
        <f t="shared" si="4"/>
        <v>1240.2</v>
      </c>
      <c r="D15" s="131">
        <f t="shared" si="0"/>
        <v>637.27591858840003</v>
      </c>
      <c r="E15" s="38">
        <v>26</v>
      </c>
      <c r="F15" s="46">
        <f t="shared" si="1"/>
        <v>2496.8614580000008</v>
      </c>
      <c r="G15" s="46">
        <f t="shared" si="2"/>
        <v>828.45863176440025</v>
      </c>
      <c r="I15" s="269"/>
      <c r="J15" s="247"/>
      <c r="K15" s="249"/>
      <c r="L15" s="254"/>
    </row>
    <row r="16" spans="1:13" ht="16.5" customHeight="1" x14ac:dyDescent="0.3">
      <c r="A16" s="38">
        <v>25</v>
      </c>
      <c r="B16" s="46">
        <f t="shared" si="3"/>
        <v>1846.7911583333334</v>
      </c>
      <c r="C16" s="189">
        <f t="shared" si="4"/>
        <v>1192.5000000000002</v>
      </c>
      <c r="D16" s="131">
        <f t="shared" si="0"/>
        <v>612.76530633499999</v>
      </c>
      <c r="E16" s="38">
        <v>25</v>
      </c>
      <c r="F16" s="46">
        <f t="shared" si="1"/>
        <v>2400.8283250000004</v>
      </c>
      <c r="G16" s="46">
        <f t="shared" si="2"/>
        <v>796.59483823500011</v>
      </c>
      <c r="I16" s="251" t="s">
        <v>59</v>
      </c>
      <c r="J16" s="246">
        <f>IF(L8&gt;=L4,L8,L4)</f>
        <v>1323</v>
      </c>
      <c r="K16" s="248">
        <v>9</v>
      </c>
      <c r="L16" s="232">
        <f>J16*K16%</f>
        <v>119.07</v>
      </c>
    </row>
    <row r="17" spans="1:14" ht="16.5" customHeight="1" thickBot="1" x14ac:dyDescent="0.35">
      <c r="A17" s="38">
        <v>24</v>
      </c>
      <c r="B17" s="46">
        <f t="shared" si="3"/>
        <v>1772.9195120000002</v>
      </c>
      <c r="C17" s="189">
        <f t="shared" si="4"/>
        <v>1144.8</v>
      </c>
      <c r="D17" s="131">
        <f t="shared" si="0"/>
        <v>588.25469408160006</v>
      </c>
      <c r="E17" s="38">
        <v>24</v>
      </c>
      <c r="F17" s="46">
        <f t="shared" si="1"/>
        <v>2304.7951920000005</v>
      </c>
      <c r="G17" s="46">
        <f t="shared" si="2"/>
        <v>764.73104470560008</v>
      </c>
      <c r="I17" s="252"/>
      <c r="J17" s="247"/>
      <c r="K17" s="249">
        <v>0.2</v>
      </c>
      <c r="L17" s="250"/>
    </row>
    <row r="18" spans="1:14" ht="16.5" customHeight="1" thickBot="1" x14ac:dyDescent="0.35">
      <c r="A18" s="38">
        <v>23</v>
      </c>
      <c r="B18" s="46">
        <f t="shared" si="3"/>
        <v>1699.0478656666667</v>
      </c>
      <c r="C18" s="189">
        <f t="shared" si="4"/>
        <v>1097.1000000000001</v>
      </c>
      <c r="D18" s="131">
        <f t="shared" si="0"/>
        <v>563.74408182820002</v>
      </c>
      <c r="E18" s="38">
        <v>23</v>
      </c>
      <c r="F18" s="46">
        <f t="shared" si="1"/>
        <v>2208.7620590000001</v>
      </c>
      <c r="G18" s="46">
        <f t="shared" si="2"/>
        <v>732.86725117620006</v>
      </c>
      <c r="I18" s="266" t="s">
        <v>63</v>
      </c>
      <c r="J18" s="267"/>
      <c r="K18" s="134">
        <f>(K14+K16)</f>
        <v>33.18</v>
      </c>
      <c r="L18" s="130">
        <f>SUM(L14:L17)</f>
        <v>565.77132000000006</v>
      </c>
    </row>
    <row r="19" spans="1:14" ht="16.5" customHeight="1" x14ac:dyDescent="0.3">
      <c r="A19" s="38">
        <v>22</v>
      </c>
      <c r="B19" s="46">
        <f t="shared" si="3"/>
        <v>1625.1762193333334</v>
      </c>
      <c r="C19" s="189">
        <f t="shared" si="4"/>
        <v>1049.4000000000001</v>
      </c>
      <c r="D19" s="131">
        <f t="shared" si="0"/>
        <v>539.23346957479998</v>
      </c>
      <c r="E19" s="38">
        <v>22</v>
      </c>
      <c r="F19" s="46">
        <f t="shared" si="1"/>
        <v>2112.7289260000002</v>
      </c>
      <c r="G19" s="46">
        <f t="shared" si="2"/>
        <v>701.00345764680003</v>
      </c>
      <c r="I19" s="126"/>
      <c r="J19" s="127"/>
      <c r="K19" s="128"/>
      <c r="L19" s="129"/>
    </row>
    <row r="20" spans="1:14" ht="16.5" customHeight="1" x14ac:dyDescent="0.3">
      <c r="A20" s="38">
        <v>21</v>
      </c>
      <c r="B20" s="46">
        <f t="shared" si="3"/>
        <v>1551.3045730000001</v>
      </c>
      <c r="C20" s="189">
        <f t="shared" si="4"/>
        <v>1001.7</v>
      </c>
      <c r="D20" s="131">
        <f t="shared" si="0"/>
        <v>514.72285732140006</v>
      </c>
      <c r="E20" s="38">
        <v>21</v>
      </c>
      <c r="F20" s="46">
        <f t="shared" si="1"/>
        <v>2016.6957930000003</v>
      </c>
      <c r="G20" s="46">
        <f t="shared" si="2"/>
        <v>669.13966411740012</v>
      </c>
      <c r="I20" s="255" t="s">
        <v>77</v>
      </c>
      <c r="J20" s="255"/>
      <c r="K20" s="255"/>
      <c r="L20" s="255"/>
      <c r="M20" s="255"/>
      <c r="N20" s="147"/>
    </row>
    <row r="21" spans="1:14" ht="16.5" customHeight="1" x14ac:dyDescent="0.3">
      <c r="A21" s="38">
        <v>20</v>
      </c>
      <c r="B21" s="46">
        <f t="shared" si="3"/>
        <v>1477.4329266666668</v>
      </c>
      <c r="C21" s="189">
        <f t="shared" si="4"/>
        <v>954.00000000000011</v>
      </c>
      <c r="D21" s="131">
        <f t="shared" si="0"/>
        <v>490.21224506800002</v>
      </c>
      <c r="E21" s="38">
        <v>20</v>
      </c>
      <c r="F21" s="46">
        <f t="shared" si="1"/>
        <v>1920.6626600000002</v>
      </c>
      <c r="G21" s="46">
        <f t="shared" si="2"/>
        <v>637.27587058799998</v>
      </c>
      <c r="I21" s="255"/>
      <c r="J21" s="255"/>
      <c r="K21" s="255"/>
      <c r="L21" s="255"/>
      <c r="M21" s="255"/>
      <c r="N21" s="147"/>
    </row>
    <row r="22" spans="1:14" ht="16.5" customHeight="1" thickBot="1" x14ac:dyDescent="0.35">
      <c r="A22" s="38">
        <v>19</v>
      </c>
      <c r="B22" s="46">
        <f t="shared" si="3"/>
        <v>1403.5612803333333</v>
      </c>
      <c r="C22" s="189">
        <f t="shared" si="4"/>
        <v>906.30000000000007</v>
      </c>
      <c r="D22" s="131">
        <f t="shared" si="0"/>
        <v>465.70163281459998</v>
      </c>
      <c r="E22" s="38">
        <v>19</v>
      </c>
      <c r="F22" s="46">
        <f t="shared" si="1"/>
        <v>1824.6295270000003</v>
      </c>
      <c r="G22" s="46">
        <f t="shared" si="2"/>
        <v>605.41207705860006</v>
      </c>
    </row>
    <row r="23" spans="1:14" ht="16.5" customHeight="1" x14ac:dyDescent="0.3">
      <c r="A23" s="38">
        <v>18</v>
      </c>
      <c r="B23" s="46">
        <f t="shared" si="3"/>
        <v>1329.6896340000001</v>
      </c>
      <c r="C23" s="189">
        <f t="shared" si="4"/>
        <v>858.60000000000014</v>
      </c>
      <c r="D23" s="131">
        <f t="shared" si="0"/>
        <v>441.19102056119999</v>
      </c>
      <c r="E23" s="38">
        <v>18</v>
      </c>
      <c r="F23" s="46">
        <f t="shared" si="1"/>
        <v>1728.5963940000001</v>
      </c>
      <c r="G23" s="46">
        <f t="shared" si="2"/>
        <v>573.54828352920003</v>
      </c>
      <c r="I23" s="234" t="s">
        <v>64</v>
      </c>
      <c r="J23" s="234"/>
      <c r="K23" s="235"/>
      <c r="L23" s="236">
        <v>0</v>
      </c>
    </row>
    <row r="24" spans="1:14" ht="16.5" customHeight="1" thickBot="1" x14ac:dyDescent="0.35">
      <c r="A24" s="38">
        <v>17</v>
      </c>
      <c r="B24" s="46">
        <f t="shared" si="3"/>
        <v>1255.8179876666668</v>
      </c>
      <c r="C24" s="189">
        <f t="shared" si="4"/>
        <v>810.9</v>
      </c>
      <c r="D24" s="131">
        <f t="shared" si="0"/>
        <v>416.68040830780001</v>
      </c>
      <c r="E24" s="38">
        <v>17</v>
      </c>
      <c r="F24" s="46">
        <f t="shared" si="1"/>
        <v>1632.5632610000002</v>
      </c>
      <c r="G24" s="46">
        <f t="shared" si="2"/>
        <v>541.68448999980001</v>
      </c>
      <c r="I24" s="234"/>
      <c r="J24" s="234"/>
      <c r="K24" s="235"/>
      <c r="L24" s="237"/>
    </row>
    <row r="25" spans="1:14" ht="16.5" customHeight="1" thickBot="1" x14ac:dyDescent="0.35">
      <c r="A25" s="38">
        <v>16</v>
      </c>
      <c r="B25" s="46">
        <f t="shared" si="3"/>
        <v>1181.9463413333333</v>
      </c>
      <c r="C25" s="189">
        <f t="shared" si="4"/>
        <v>763.2</v>
      </c>
      <c r="D25" s="131">
        <f t="shared" si="0"/>
        <v>392.16979605439997</v>
      </c>
      <c r="E25" s="38">
        <v>16</v>
      </c>
      <c r="F25" s="46">
        <f t="shared" si="1"/>
        <v>1536.5301280000003</v>
      </c>
      <c r="G25" s="46">
        <f t="shared" si="2"/>
        <v>509.82069647040009</v>
      </c>
    </row>
    <row r="26" spans="1:14" ht="16.5" customHeight="1" x14ac:dyDescent="0.3">
      <c r="A26" s="38">
        <v>15</v>
      </c>
      <c r="B26" s="46">
        <f t="shared" si="3"/>
        <v>1108.074695</v>
      </c>
      <c r="C26" s="189">
        <f t="shared" si="4"/>
        <v>715.5</v>
      </c>
      <c r="D26" s="131">
        <f t="shared" si="0"/>
        <v>367.65918380099998</v>
      </c>
      <c r="E26" s="38">
        <v>15</v>
      </c>
      <c r="F26" s="46">
        <f t="shared" si="1"/>
        <v>1440.4969950000002</v>
      </c>
      <c r="G26" s="46">
        <f t="shared" si="2"/>
        <v>477.95690294100007</v>
      </c>
      <c r="I26" s="234" t="s">
        <v>68</v>
      </c>
      <c r="J26" s="234"/>
      <c r="K26" s="235"/>
      <c r="L26" s="238">
        <v>0</v>
      </c>
    </row>
    <row r="27" spans="1:14" ht="16.5" customHeight="1" thickBot="1" x14ac:dyDescent="0.35">
      <c r="A27" s="38">
        <v>14</v>
      </c>
      <c r="B27" s="46">
        <f t="shared" si="3"/>
        <v>1034.2030486666667</v>
      </c>
      <c r="C27" s="189">
        <f t="shared" si="4"/>
        <v>667.80000000000018</v>
      </c>
      <c r="D27" s="131">
        <f t="shared" si="0"/>
        <v>343.1485715476</v>
      </c>
      <c r="E27" s="38">
        <v>14</v>
      </c>
      <c r="F27" s="46">
        <f t="shared" si="1"/>
        <v>1344.4638620000003</v>
      </c>
      <c r="G27" s="46">
        <f t="shared" si="2"/>
        <v>446.0931094116001</v>
      </c>
      <c r="I27" s="234"/>
      <c r="J27" s="234"/>
      <c r="K27" s="235"/>
      <c r="L27" s="239"/>
    </row>
    <row r="28" spans="1:14" ht="16.5" customHeight="1" thickBot="1" x14ac:dyDescent="0.35">
      <c r="A28" s="38">
        <v>13</v>
      </c>
      <c r="B28" s="46">
        <f t="shared" si="3"/>
        <v>960.33140233333336</v>
      </c>
      <c r="C28" s="189">
        <f t="shared" si="4"/>
        <v>620.1</v>
      </c>
      <c r="D28" s="131">
        <f t="shared" si="0"/>
        <v>318.63795929420002</v>
      </c>
      <c r="E28" s="38">
        <v>13</v>
      </c>
      <c r="F28" s="46">
        <f t="shared" si="1"/>
        <v>1248.4307290000004</v>
      </c>
      <c r="G28" s="46">
        <f t="shared" si="2"/>
        <v>414.22931588220013</v>
      </c>
    </row>
    <row r="29" spans="1:14" ht="16.5" customHeight="1" x14ac:dyDescent="0.3">
      <c r="A29" s="38">
        <v>12</v>
      </c>
      <c r="B29" s="46">
        <f t="shared" si="3"/>
        <v>886.45975600000008</v>
      </c>
      <c r="C29" s="189">
        <f t="shared" si="4"/>
        <v>572.4</v>
      </c>
      <c r="D29" s="131">
        <f t="shared" si="0"/>
        <v>294.12734704080003</v>
      </c>
      <c r="E29" s="38">
        <v>12</v>
      </c>
      <c r="F29" s="46">
        <f t="shared" si="1"/>
        <v>1152.3975960000002</v>
      </c>
      <c r="G29" s="46">
        <f t="shared" si="2"/>
        <v>382.36552235280004</v>
      </c>
      <c r="I29" s="240" t="s">
        <v>65</v>
      </c>
      <c r="J29" s="241"/>
      <c r="K29" s="241"/>
      <c r="L29" s="242"/>
    </row>
    <row r="30" spans="1:14" ht="16.5" customHeight="1" thickBot="1" x14ac:dyDescent="0.35">
      <c r="A30" s="38">
        <v>11</v>
      </c>
      <c r="B30" s="46">
        <f t="shared" si="3"/>
        <v>812.5881096666667</v>
      </c>
      <c r="C30" s="189">
        <f t="shared" si="4"/>
        <v>524.70000000000005</v>
      </c>
      <c r="D30" s="131">
        <f t="shared" si="0"/>
        <v>269.61673478739999</v>
      </c>
      <c r="E30" s="38">
        <v>11</v>
      </c>
      <c r="F30" s="46">
        <f t="shared" si="1"/>
        <v>1056.3644630000001</v>
      </c>
      <c r="G30" s="46">
        <f t="shared" si="2"/>
        <v>350.50172882340001</v>
      </c>
      <c r="I30" s="243"/>
      <c r="J30" s="244"/>
      <c r="K30" s="244"/>
      <c r="L30" s="245"/>
    </row>
    <row r="31" spans="1:14" ht="16.5" customHeight="1" thickBot="1" x14ac:dyDescent="0.35">
      <c r="A31" s="38">
        <v>10</v>
      </c>
      <c r="B31" s="46">
        <f t="shared" si="3"/>
        <v>738.71646333333342</v>
      </c>
      <c r="C31" s="189">
        <f t="shared" si="4"/>
        <v>477.00000000000006</v>
      </c>
      <c r="D31" s="131">
        <f t="shared" si="0"/>
        <v>245.10612253400001</v>
      </c>
      <c r="E31" s="38">
        <v>10</v>
      </c>
      <c r="F31" s="46">
        <f t="shared" si="1"/>
        <v>960.33133000000009</v>
      </c>
      <c r="G31" s="46">
        <f t="shared" si="2"/>
        <v>318.63793529399999</v>
      </c>
      <c r="I31" s="137" t="s">
        <v>69</v>
      </c>
      <c r="J31" s="135" t="s">
        <v>55</v>
      </c>
      <c r="K31" s="133" t="s">
        <v>70</v>
      </c>
      <c r="L31" s="119" t="s">
        <v>57</v>
      </c>
    </row>
    <row r="32" spans="1:14" ht="16.5" customHeight="1" x14ac:dyDescent="0.3">
      <c r="A32" s="38">
        <v>9</v>
      </c>
      <c r="B32" s="46">
        <f t="shared" si="3"/>
        <v>664.84481700000003</v>
      </c>
      <c r="C32" s="189">
        <f t="shared" si="4"/>
        <v>429.30000000000007</v>
      </c>
      <c r="D32" s="131">
        <f t="shared" si="0"/>
        <v>220.5955102806</v>
      </c>
      <c r="E32" s="38">
        <v>9</v>
      </c>
      <c r="F32" s="46">
        <f t="shared" si="1"/>
        <v>864.29819700000007</v>
      </c>
      <c r="G32" s="46">
        <f t="shared" si="2"/>
        <v>286.77414176460002</v>
      </c>
      <c r="I32" s="226">
        <f>((L23/37.5*7.5*5)/7)*30*$D$43</f>
        <v>0</v>
      </c>
      <c r="J32" s="228">
        <f>IF(L26&lt;I32,I32,L26)</f>
        <v>0</v>
      </c>
      <c r="K32" s="230">
        <v>33.18</v>
      </c>
      <c r="L32" s="232">
        <f>J32*K32%</f>
        <v>0</v>
      </c>
    </row>
    <row r="33" spans="1:14" ht="16.5" customHeight="1" thickBot="1" x14ac:dyDescent="0.35">
      <c r="A33" s="38">
        <v>8</v>
      </c>
      <c r="B33" s="46">
        <f t="shared" si="3"/>
        <v>590.97317066666665</v>
      </c>
      <c r="C33" s="189">
        <f t="shared" si="4"/>
        <v>381.6</v>
      </c>
      <c r="D33" s="131">
        <f t="shared" si="0"/>
        <v>196.08489802719998</v>
      </c>
      <c r="E33" s="38">
        <v>8</v>
      </c>
      <c r="F33" s="46">
        <f t="shared" si="1"/>
        <v>768.26506400000017</v>
      </c>
      <c r="G33" s="46">
        <f t="shared" si="2"/>
        <v>254.91034823520005</v>
      </c>
      <c r="I33" s="227"/>
      <c r="J33" s="229"/>
      <c r="K33" s="231"/>
      <c r="L33" s="233"/>
    </row>
    <row r="34" spans="1:14" ht="16.5" customHeight="1" thickBot="1" x14ac:dyDescent="0.35">
      <c r="A34" s="38">
        <v>7</v>
      </c>
      <c r="B34" s="46">
        <f t="shared" si="3"/>
        <v>517.10152433333337</v>
      </c>
      <c r="C34" s="189">
        <f t="shared" si="4"/>
        <v>333.90000000000009</v>
      </c>
      <c r="D34" s="131">
        <f t="shared" si="0"/>
        <v>171.5742857738</v>
      </c>
      <c r="E34" s="38">
        <v>7</v>
      </c>
      <c r="F34" s="46">
        <f t="shared" si="1"/>
        <v>672.23193100000015</v>
      </c>
      <c r="G34" s="46">
        <f t="shared" si="2"/>
        <v>223.04655470580005</v>
      </c>
      <c r="I34" s="221" t="s">
        <v>66</v>
      </c>
      <c r="J34" s="222"/>
      <c r="K34" s="223"/>
      <c r="L34" s="130">
        <f>SUM(L32)</f>
        <v>0</v>
      </c>
    </row>
    <row r="35" spans="1:14" ht="16.5" customHeight="1" x14ac:dyDescent="0.3">
      <c r="A35" s="38">
        <v>6</v>
      </c>
      <c r="B35" s="46">
        <f t="shared" si="3"/>
        <v>443.22987800000004</v>
      </c>
      <c r="C35" s="189">
        <f t="shared" si="4"/>
        <v>286.2</v>
      </c>
      <c r="D35" s="131">
        <f t="shared" si="0"/>
        <v>147.06367352040002</v>
      </c>
      <c r="E35" s="38">
        <v>6</v>
      </c>
      <c r="F35" s="46">
        <f t="shared" si="1"/>
        <v>576.19879800000012</v>
      </c>
      <c r="G35" s="46">
        <f t="shared" si="2"/>
        <v>191.18276117640002</v>
      </c>
      <c r="N35" s="136"/>
    </row>
    <row r="36" spans="1:14" ht="16.5" customHeight="1" x14ac:dyDescent="0.3">
      <c r="A36" s="38">
        <v>5</v>
      </c>
      <c r="B36" s="46">
        <f t="shared" si="3"/>
        <v>369.35823166666671</v>
      </c>
      <c r="C36" s="189">
        <f t="shared" si="4"/>
        <v>238.50000000000003</v>
      </c>
      <c r="D36" s="131">
        <f t="shared" si="0"/>
        <v>122.553061267</v>
      </c>
      <c r="E36" s="38">
        <v>5</v>
      </c>
      <c r="F36" s="46">
        <f t="shared" si="1"/>
        <v>480.16566500000005</v>
      </c>
      <c r="G36" s="46">
        <f t="shared" si="2"/>
        <v>159.31896764699999</v>
      </c>
      <c r="I36" s="224" t="s">
        <v>67</v>
      </c>
      <c r="J36" s="224"/>
      <c r="K36" s="224"/>
      <c r="L36" s="224"/>
      <c r="M36" s="225" t="s">
        <v>101</v>
      </c>
      <c r="N36" s="136"/>
    </row>
    <row r="37" spans="1:14" ht="16.5" customHeight="1" x14ac:dyDescent="0.3">
      <c r="A37" s="38">
        <v>4</v>
      </c>
      <c r="B37" s="46">
        <f t="shared" si="3"/>
        <v>295.48658533333332</v>
      </c>
      <c r="C37" s="189">
        <f t="shared" si="4"/>
        <v>190.8</v>
      </c>
      <c r="D37" s="131">
        <f t="shared" si="0"/>
        <v>98.042449013599992</v>
      </c>
      <c r="E37" s="38">
        <v>4</v>
      </c>
      <c r="F37" s="46">
        <f t="shared" si="1"/>
        <v>384.13253200000008</v>
      </c>
      <c r="G37" s="46">
        <f t="shared" si="2"/>
        <v>127.45517411760002</v>
      </c>
      <c r="I37" s="224"/>
      <c r="J37" s="224"/>
      <c r="K37" s="224"/>
      <c r="L37" s="224"/>
      <c r="M37" s="225"/>
      <c r="N37" s="136"/>
    </row>
    <row r="38" spans="1:14" ht="16.5" customHeight="1" x14ac:dyDescent="0.3">
      <c r="A38" s="38">
        <v>3</v>
      </c>
      <c r="B38" s="46">
        <f t="shared" si="3"/>
        <v>221.61493900000002</v>
      </c>
      <c r="C38" s="189">
        <f t="shared" si="4"/>
        <v>143.1</v>
      </c>
      <c r="D38" s="131">
        <f t="shared" si="0"/>
        <v>73.531836760200008</v>
      </c>
      <c r="E38" s="38">
        <v>3</v>
      </c>
      <c r="F38" s="46">
        <f t="shared" si="1"/>
        <v>288.09939900000006</v>
      </c>
      <c r="G38" s="46">
        <f t="shared" si="2"/>
        <v>95.59138058820001</v>
      </c>
    </row>
    <row r="39" spans="1:14" ht="16.5" customHeight="1" x14ac:dyDescent="0.3">
      <c r="A39" s="38">
        <v>2</v>
      </c>
      <c r="B39" s="46">
        <f t="shared" si="3"/>
        <v>147.74329266666666</v>
      </c>
      <c r="C39" s="189">
        <f t="shared" si="4"/>
        <v>95.4</v>
      </c>
      <c r="D39" s="131">
        <f t="shared" si="0"/>
        <v>49.021224506799996</v>
      </c>
      <c r="E39" s="38">
        <v>2</v>
      </c>
      <c r="F39" s="46">
        <f t="shared" si="1"/>
        <v>192.06626600000004</v>
      </c>
      <c r="G39" s="46">
        <f t="shared" si="2"/>
        <v>63.727587058800012</v>
      </c>
    </row>
    <row r="40" spans="1:14" ht="16.5" customHeight="1" x14ac:dyDescent="0.3">
      <c r="A40" s="39">
        <v>1</v>
      </c>
      <c r="B40" s="198">
        <f t="shared" si="3"/>
        <v>73.871646333333331</v>
      </c>
      <c r="C40" s="199">
        <f t="shared" si="4"/>
        <v>47.7</v>
      </c>
      <c r="D40" s="200">
        <f t="shared" si="0"/>
        <v>24.510612253399998</v>
      </c>
      <c r="E40" s="39">
        <v>1</v>
      </c>
      <c r="F40" s="198">
        <f t="shared" si="1"/>
        <v>96.033133000000021</v>
      </c>
      <c r="G40" s="198">
        <f t="shared" si="2"/>
        <v>31.863793529400006</v>
      </c>
    </row>
    <row r="41" spans="1:14" hidden="1" x14ac:dyDescent="0.3">
      <c r="D41" s="197"/>
    </row>
    <row r="42" spans="1:14" ht="14" hidden="1" thickBot="1" x14ac:dyDescent="0.35"/>
    <row r="43" spans="1:14" ht="41" hidden="1" thickBot="1" x14ac:dyDescent="0.35">
      <c r="B43" s="194" t="s">
        <v>14</v>
      </c>
      <c r="C43" s="195"/>
      <c r="D43" s="196">
        <v>11.13</v>
      </c>
      <c r="E43" s="17"/>
    </row>
    <row r="44" spans="1:14" hidden="1" x14ac:dyDescent="0.3"/>
  </sheetData>
  <sheetProtection algorithmName="SHA-512" hashValue="sVrGEgQ/M+MjwdQyYmA46Gng9UwqADfDuUOmMzmvD4ejAN+6Q4rQSbyW0VtH2Xn734tW9odWXQ+i0NDWf1V8hQ==" saltValue="qwvldFrnizeA3dznukfycQ==" spinCount="100000" sheet="1" objects="1" scenarios="1"/>
  <protectedRanges>
    <protectedRange sqref="M36" name="CALCULO RC"/>
    <protectedRange sqref="L8" name="RET TC_1"/>
    <protectedRange sqref="L26" name="RET TC_2"/>
    <protectedRange sqref="L23" name="DED_1"/>
  </protectedRanges>
  <mergeCells count="35">
    <mergeCell ref="I20:M21"/>
    <mergeCell ref="A1:G1"/>
    <mergeCell ref="I2:K2"/>
    <mergeCell ref="I4:I5"/>
    <mergeCell ref="J4:J5"/>
    <mergeCell ref="K4:K5"/>
    <mergeCell ref="L2:M2"/>
    <mergeCell ref="B2:D2"/>
    <mergeCell ref="F2:G2"/>
    <mergeCell ref="L4:L5"/>
    <mergeCell ref="M4:M5"/>
    <mergeCell ref="I18:J18"/>
    <mergeCell ref="L8:L9"/>
    <mergeCell ref="I8:K9"/>
    <mergeCell ref="I11:L12"/>
    <mergeCell ref="I14:I15"/>
    <mergeCell ref="J14:J15"/>
    <mergeCell ref="K14:K15"/>
    <mergeCell ref="L16:L17"/>
    <mergeCell ref="K16:K17"/>
    <mergeCell ref="I16:I17"/>
    <mergeCell ref="J16:J17"/>
    <mergeCell ref="L14:L15"/>
    <mergeCell ref="I26:K27"/>
    <mergeCell ref="L23:L24"/>
    <mergeCell ref="I23:K24"/>
    <mergeCell ref="L26:L27"/>
    <mergeCell ref="I29:L30"/>
    <mergeCell ref="I34:K34"/>
    <mergeCell ref="I36:L37"/>
    <mergeCell ref="M36:M37"/>
    <mergeCell ref="I32:I33"/>
    <mergeCell ref="J32:J33"/>
    <mergeCell ref="K32:K33"/>
    <mergeCell ref="L32:L33"/>
  </mergeCells>
  <phoneticPr fontId="3" type="noConversion"/>
  <hyperlinks>
    <hyperlink ref="M36:M37" r:id="rId1" display="CALCULO RC E INDEMNIZACION" xr:uid="{00000000-0004-0000-0000-000000000000}"/>
  </hyperlinks>
  <pageMargins left="0.94488188976377963" right="0.86614173228346458" top="9.46969696969697E-3" bottom="0.39370078740157483" header="0" footer="0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1"/>
  <sheetViews>
    <sheetView topLeftCell="A34" zoomScaleNormal="100" workbookViewId="0">
      <selection activeCell="A41" sqref="A41:XFD51"/>
    </sheetView>
  </sheetViews>
  <sheetFormatPr baseColWidth="10" defaultColWidth="11.54296875" defaultRowHeight="13.5" x14ac:dyDescent="0.3"/>
  <cols>
    <col min="1" max="1" width="18.453125" style="33" customWidth="1"/>
    <col min="2" max="2" width="24.6328125" style="50" customWidth="1"/>
    <col min="3" max="3" width="10.6328125" style="51" hidden="1" customWidth="1"/>
    <col min="4" max="4" width="18.453125" style="52" customWidth="1"/>
    <col min="5" max="5" width="18.453125" style="8" customWidth="1"/>
    <col min="6" max="6" width="24.81640625" style="49" customWidth="1"/>
    <col min="7" max="7" width="18.453125" style="49" customWidth="1"/>
    <col min="8" max="8" width="11.54296875" style="8"/>
    <col min="9" max="9" width="19.1796875" style="19" customWidth="1"/>
    <col min="10" max="10" width="17" style="8" bestFit="1" customWidth="1"/>
    <col min="11" max="11" width="19.81640625" style="8" bestFit="1" customWidth="1"/>
    <col min="12" max="12" width="16.1796875" style="8" bestFit="1" customWidth="1"/>
    <col min="13" max="13" width="16.6328125" style="8" customWidth="1"/>
    <col min="14" max="16384" width="11.54296875" style="8"/>
  </cols>
  <sheetData>
    <row r="1" spans="1:14" ht="65.25" customHeight="1" x14ac:dyDescent="0.3">
      <c r="A1" s="256" t="s">
        <v>115</v>
      </c>
      <c r="B1" s="257"/>
      <c r="C1" s="257"/>
      <c r="D1" s="257"/>
      <c r="E1" s="257"/>
      <c r="F1" s="257"/>
      <c r="G1" s="257"/>
    </row>
    <row r="2" spans="1:14" s="47" customFormat="1" ht="24" customHeight="1" x14ac:dyDescent="0.25">
      <c r="A2" s="48"/>
      <c r="B2" s="274" t="s">
        <v>47</v>
      </c>
      <c r="C2" s="274"/>
      <c r="D2" s="275"/>
      <c r="E2" s="57"/>
      <c r="F2" s="276" t="s">
        <v>48</v>
      </c>
      <c r="G2" s="277"/>
      <c r="I2" s="258" t="s">
        <v>50</v>
      </c>
      <c r="J2" s="258"/>
      <c r="K2" s="258"/>
      <c r="L2" s="258" t="s">
        <v>54</v>
      </c>
      <c r="M2" s="258"/>
      <c r="N2" s="36"/>
    </row>
    <row r="3" spans="1:14" s="27" customFormat="1" ht="40.5" x14ac:dyDescent="0.3">
      <c r="A3" s="40" t="s">
        <v>45</v>
      </c>
      <c r="B3" s="61" t="s">
        <v>46</v>
      </c>
      <c r="C3" s="62" t="s">
        <v>15</v>
      </c>
      <c r="D3" s="63" t="s">
        <v>113</v>
      </c>
      <c r="E3" s="40" t="s">
        <v>45</v>
      </c>
      <c r="F3" s="64" t="s">
        <v>46</v>
      </c>
      <c r="G3" s="63" t="s">
        <v>114</v>
      </c>
      <c r="I3" s="124" t="s">
        <v>49</v>
      </c>
      <c r="J3" s="124" t="s">
        <v>60</v>
      </c>
      <c r="K3" s="124" t="s">
        <v>61</v>
      </c>
      <c r="L3" s="125" t="s">
        <v>52</v>
      </c>
      <c r="M3" s="124" t="s">
        <v>53</v>
      </c>
    </row>
    <row r="4" spans="1:14" ht="15" customHeight="1" x14ac:dyDescent="0.3">
      <c r="A4" s="58">
        <v>37.5</v>
      </c>
      <c r="B4" s="59">
        <f>PARAMETROS!B23</f>
        <v>2275.5108249999998</v>
      </c>
      <c r="C4" s="60"/>
      <c r="D4" s="59"/>
      <c r="E4" s="58">
        <v>37.5</v>
      </c>
      <c r="F4" s="59">
        <f>PARAMETROS!C23</f>
        <v>2958.1629874999994</v>
      </c>
      <c r="G4" s="59">
        <f>IF(F4&gt;=$K$4,$K$4*$K$18%,F4*$K$18%)</f>
        <v>981.51847925249979</v>
      </c>
      <c r="I4" s="259">
        <v>1</v>
      </c>
      <c r="J4" s="271">
        <v>1847.4</v>
      </c>
      <c r="K4" s="272">
        <v>4720.5</v>
      </c>
      <c r="L4" s="273">
        <v>1323</v>
      </c>
      <c r="M4" s="272">
        <v>4720.5</v>
      </c>
    </row>
    <row r="5" spans="1:14" ht="15" customHeight="1" x14ac:dyDescent="0.3">
      <c r="A5" s="38">
        <v>36</v>
      </c>
      <c r="B5" s="53">
        <f>PRODUCT(B$4,A5)/A$4</f>
        <v>2184.4903920000002</v>
      </c>
      <c r="C5" s="54">
        <f t="shared" ref="C5:C40" si="0">(A5/$A$4*7.5*5)/7*30*$C$46</f>
        <v>1717.2000000000003</v>
      </c>
      <c r="D5" s="53">
        <f>IF(B5&lt;C5,C5*$K$18%,B5*$K$18%)</f>
        <v>724.81391206559999</v>
      </c>
      <c r="E5" s="38">
        <v>36</v>
      </c>
      <c r="F5" s="53">
        <f>PRODUCT(F$4,E5)/E$4</f>
        <v>2839.8364679999995</v>
      </c>
      <c r="G5" s="59">
        <f t="shared" ref="G5:G40" si="1">IF(F5&gt;=$K$4,$K$4*$K$18%,F5*$K$18%)</f>
        <v>942.25774008239978</v>
      </c>
      <c r="I5" s="259"/>
      <c r="J5" s="271"/>
      <c r="K5" s="272"/>
      <c r="L5" s="273"/>
      <c r="M5" s="272"/>
    </row>
    <row r="6" spans="1:14" ht="15" customHeight="1" x14ac:dyDescent="0.3">
      <c r="A6" s="38">
        <v>35</v>
      </c>
      <c r="B6" s="53">
        <f>PRODUCT(B$4,A6)/A$4</f>
        <v>2123.8101033333332</v>
      </c>
      <c r="C6" s="54">
        <f t="shared" si="0"/>
        <v>1669.5000000000002</v>
      </c>
      <c r="D6" s="53">
        <f t="shared" ref="D6:D40" si="2">IF(B6&lt;C6,C6*$K$18%,B6*$K$18%)</f>
        <v>704.68019228599996</v>
      </c>
      <c r="E6" s="38">
        <v>35</v>
      </c>
      <c r="F6" s="53">
        <f>PRODUCT(F$4,E6)/E$4</f>
        <v>2760.9521216666658</v>
      </c>
      <c r="G6" s="59">
        <f t="shared" si="1"/>
        <v>916.0839139689997</v>
      </c>
      <c r="I6" s="35"/>
      <c r="L6" s="115"/>
    </row>
    <row r="7" spans="1:14" ht="15" customHeight="1" thickBot="1" x14ac:dyDescent="0.35">
      <c r="A7" s="38">
        <v>34</v>
      </c>
      <c r="B7" s="53">
        <f t="shared" ref="B7:B40" si="3">PRODUCT(B$4,A7)/A$4</f>
        <v>2063.1298146666663</v>
      </c>
      <c r="C7" s="54">
        <f t="shared" si="0"/>
        <v>1621.8</v>
      </c>
      <c r="D7" s="53">
        <f t="shared" si="2"/>
        <v>684.54647250639982</v>
      </c>
      <c r="E7" s="38">
        <v>34</v>
      </c>
      <c r="F7" s="53">
        <f t="shared" ref="F7:F40" si="4">PRODUCT(F$4,E7)/E$4</f>
        <v>2682.067775333333</v>
      </c>
      <c r="G7" s="59">
        <f t="shared" si="1"/>
        <v>889.91008785559984</v>
      </c>
      <c r="I7" s="35"/>
      <c r="J7" s="19"/>
      <c r="L7" s="115"/>
    </row>
    <row r="8" spans="1:14" ht="15" customHeight="1" x14ac:dyDescent="0.3">
      <c r="A8" s="38">
        <v>33</v>
      </c>
      <c r="B8" s="53">
        <f t="shared" si="3"/>
        <v>2002.4495260000001</v>
      </c>
      <c r="C8" s="54">
        <f t="shared" si="0"/>
        <v>1574.1000000000004</v>
      </c>
      <c r="D8" s="53">
        <f t="shared" si="2"/>
        <v>664.41275272680002</v>
      </c>
      <c r="E8" s="38">
        <v>33</v>
      </c>
      <c r="F8" s="53">
        <f t="shared" si="4"/>
        <v>2603.1834289999993</v>
      </c>
      <c r="G8" s="59">
        <f t="shared" si="1"/>
        <v>863.73626174219976</v>
      </c>
      <c r="I8" s="234" t="s">
        <v>88</v>
      </c>
      <c r="J8" s="234"/>
      <c r="K8" s="235"/>
      <c r="L8" s="238">
        <v>0</v>
      </c>
    </row>
    <row r="9" spans="1:14" ht="15" customHeight="1" thickBot="1" x14ac:dyDescent="0.35">
      <c r="A9" s="38">
        <v>32</v>
      </c>
      <c r="B9" s="53">
        <f t="shared" si="3"/>
        <v>1941.7692373333332</v>
      </c>
      <c r="C9" s="54">
        <f t="shared" si="0"/>
        <v>1526.4</v>
      </c>
      <c r="D9" s="53">
        <f t="shared" si="2"/>
        <v>644.27903294719988</v>
      </c>
      <c r="E9" s="38">
        <v>32</v>
      </c>
      <c r="F9" s="53">
        <f t="shared" si="4"/>
        <v>2524.299082666666</v>
      </c>
      <c r="G9" s="59">
        <f t="shared" si="1"/>
        <v>837.56243562879968</v>
      </c>
      <c r="I9" s="234"/>
      <c r="J9" s="234"/>
      <c r="K9" s="235"/>
      <c r="L9" s="239"/>
    </row>
    <row r="10" spans="1:14" ht="15" customHeight="1" thickBot="1" x14ac:dyDescent="0.35">
      <c r="A10" s="38">
        <v>31</v>
      </c>
      <c r="B10" s="53">
        <f t="shared" si="3"/>
        <v>1881.0889486666665</v>
      </c>
      <c r="C10" s="54">
        <f t="shared" si="0"/>
        <v>1478.7</v>
      </c>
      <c r="D10" s="53">
        <f t="shared" si="2"/>
        <v>624.14531316759997</v>
      </c>
      <c r="E10" s="38">
        <v>31</v>
      </c>
      <c r="F10" s="53">
        <f t="shared" si="4"/>
        <v>2445.4147363333332</v>
      </c>
      <c r="G10" s="59">
        <f t="shared" si="1"/>
        <v>811.38860951539993</v>
      </c>
      <c r="I10" s="120"/>
      <c r="J10" s="121"/>
      <c r="K10" s="122"/>
      <c r="L10" s="123"/>
    </row>
    <row r="11" spans="1:14" ht="15" customHeight="1" x14ac:dyDescent="0.3">
      <c r="A11" s="38">
        <v>30</v>
      </c>
      <c r="B11" s="53">
        <f t="shared" si="3"/>
        <v>1820.4086600000001</v>
      </c>
      <c r="C11" s="54">
        <f t="shared" si="0"/>
        <v>1431</v>
      </c>
      <c r="D11" s="53">
        <f t="shared" si="2"/>
        <v>604.01159338799994</v>
      </c>
      <c r="E11" s="38">
        <v>30</v>
      </c>
      <c r="F11" s="53">
        <f t="shared" si="4"/>
        <v>2366.5303899999994</v>
      </c>
      <c r="G11" s="59">
        <f t="shared" si="1"/>
        <v>785.21478340199974</v>
      </c>
      <c r="I11" s="240" t="s">
        <v>62</v>
      </c>
      <c r="J11" s="241"/>
      <c r="K11" s="241"/>
      <c r="L11" s="242"/>
    </row>
    <row r="12" spans="1:14" ht="15" customHeight="1" thickBot="1" x14ac:dyDescent="0.35">
      <c r="A12" s="38">
        <v>29</v>
      </c>
      <c r="B12" s="53">
        <f t="shared" si="3"/>
        <v>1759.7283713333331</v>
      </c>
      <c r="C12" s="54">
        <f t="shared" si="0"/>
        <v>1383.3000000000002</v>
      </c>
      <c r="D12" s="53">
        <f t="shared" si="2"/>
        <v>583.87787360839991</v>
      </c>
      <c r="E12" s="38">
        <v>29</v>
      </c>
      <c r="F12" s="53">
        <f t="shared" si="4"/>
        <v>2287.6460436666662</v>
      </c>
      <c r="G12" s="59">
        <f t="shared" si="1"/>
        <v>759.04095728859977</v>
      </c>
      <c r="I12" s="243"/>
      <c r="J12" s="244"/>
      <c r="K12" s="244"/>
      <c r="L12" s="245"/>
    </row>
    <row r="13" spans="1:14" ht="15" customHeight="1" thickBot="1" x14ac:dyDescent="0.35">
      <c r="A13" s="38">
        <v>28</v>
      </c>
      <c r="B13" s="53">
        <f t="shared" si="3"/>
        <v>1699.0480826666667</v>
      </c>
      <c r="C13" s="54">
        <f t="shared" si="0"/>
        <v>1335.6000000000004</v>
      </c>
      <c r="D13" s="53">
        <f t="shared" si="2"/>
        <v>563.74415382879999</v>
      </c>
      <c r="E13" s="38">
        <v>28</v>
      </c>
      <c r="F13" s="53">
        <f t="shared" si="4"/>
        <v>2208.7616973333329</v>
      </c>
      <c r="G13" s="59">
        <f t="shared" si="1"/>
        <v>732.8671311751998</v>
      </c>
      <c r="I13" s="117"/>
      <c r="J13" s="118" t="s">
        <v>55</v>
      </c>
      <c r="K13" s="133" t="s">
        <v>56</v>
      </c>
      <c r="L13" s="119" t="s">
        <v>57</v>
      </c>
    </row>
    <row r="14" spans="1:14" ht="15" customHeight="1" x14ac:dyDescent="0.3">
      <c r="A14" s="38">
        <v>27</v>
      </c>
      <c r="B14" s="53">
        <f t="shared" si="3"/>
        <v>1638.3677939999998</v>
      </c>
      <c r="C14" s="54">
        <f t="shared" si="0"/>
        <v>1287.9000000000001</v>
      </c>
      <c r="D14" s="53">
        <f t="shared" si="2"/>
        <v>543.61043404919985</v>
      </c>
      <c r="E14" s="38">
        <v>27</v>
      </c>
      <c r="F14" s="53">
        <f t="shared" si="4"/>
        <v>2129.8773509999996</v>
      </c>
      <c r="G14" s="59">
        <f t="shared" si="1"/>
        <v>706.69330506179983</v>
      </c>
      <c r="I14" s="268" t="s">
        <v>58</v>
      </c>
      <c r="J14" s="246">
        <f>IF(L8&gt;=J4,L8,J4)</f>
        <v>1847.4</v>
      </c>
      <c r="K14" s="248">
        <v>24.18</v>
      </c>
      <c r="L14" s="253">
        <f>J14*K14%</f>
        <v>446.70132000000001</v>
      </c>
    </row>
    <row r="15" spans="1:14" ht="15" customHeight="1" thickBot="1" x14ac:dyDescent="0.35">
      <c r="A15" s="38">
        <v>26</v>
      </c>
      <c r="B15" s="53">
        <f t="shared" si="3"/>
        <v>1577.6875053333331</v>
      </c>
      <c r="C15" s="54">
        <f t="shared" si="0"/>
        <v>1240.2</v>
      </c>
      <c r="D15" s="53">
        <f t="shared" si="2"/>
        <v>523.47671426959994</v>
      </c>
      <c r="E15" s="38">
        <v>26</v>
      </c>
      <c r="F15" s="53">
        <f t="shared" si="4"/>
        <v>2050.9930046666664</v>
      </c>
      <c r="G15" s="59">
        <f t="shared" si="1"/>
        <v>680.51947894839986</v>
      </c>
      <c r="I15" s="269"/>
      <c r="J15" s="247"/>
      <c r="K15" s="249"/>
      <c r="L15" s="254"/>
    </row>
    <row r="16" spans="1:14" ht="15" customHeight="1" x14ac:dyDescent="0.3">
      <c r="A16" s="38">
        <v>25</v>
      </c>
      <c r="B16" s="53">
        <f t="shared" si="3"/>
        <v>1517.0072166666666</v>
      </c>
      <c r="C16" s="54">
        <f t="shared" si="0"/>
        <v>1192.5000000000002</v>
      </c>
      <c r="D16" s="53">
        <f t="shared" si="2"/>
        <v>503.34299448999997</v>
      </c>
      <c r="E16" s="38">
        <v>25</v>
      </c>
      <c r="F16" s="53">
        <f t="shared" si="4"/>
        <v>1972.1086583333331</v>
      </c>
      <c r="G16" s="59">
        <f t="shared" si="1"/>
        <v>654.3456528349999</v>
      </c>
      <c r="I16" s="251" t="s">
        <v>59</v>
      </c>
      <c r="J16" s="246">
        <f>IF(L8&gt;=L4,L8,L4)</f>
        <v>1323</v>
      </c>
      <c r="K16" s="248">
        <v>9</v>
      </c>
      <c r="L16" s="232">
        <f>J16*K16%</f>
        <v>119.07</v>
      </c>
    </row>
    <row r="17" spans="1:14" ht="15" customHeight="1" thickBot="1" x14ac:dyDescent="0.35">
      <c r="A17" s="38">
        <v>24</v>
      </c>
      <c r="B17" s="53">
        <f t="shared" si="3"/>
        <v>1456.326928</v>
      </c>
      <c r="C17" s="54">
        <f t="shared" si="0"/>
        <v>1144.8</v>
      </c>
      <c r="D17" s="53">
        <f t="shared" si="2"/>
        <v>483.20927471039994</v>
      </c>
      <c r="E17" s="38">
        <v>24</v>
      </c>
      <c r="F17" s="53">
        <f t="shared" si="4"/>
        <v>1893.2243119999996</v>
      </c>
      <c r="G17" s="59">
        <f t="shared" si="1"/>
        <v>628.17182672159981</v>
      </c>
      <c r="I17" s="252"/>
      <c r="J17" s="247"/>
      <c r="K17" s="249">
        <v>0.2</v>
      </c>
      <c r="L17" s="250"/>
    </row>
    <row r="18" spans="1:14" ht="15" customHeight="1" thickBot="1" x14ac:dyDescent="0.35">
      <c r="A18" s="38">
        <v>23</v>
      </c>
      <c r="B18" s="53">
        <f t="shared" si="3"/>
        <v>1395.6466393333333</v>
      </c>
      <c r="C18" s="54">
        <f t="shared" si="0"/>
        <v>1097.1000000000001</v>
      </c>
      <c r="D18" s="53">
        <f t="shared" si="2"/>
        <v>463.07555493079997</v>
      </c>
      <c r="E18" s="38">
        <v>23</v>
      </c>
      <c r="F18" s="53">
        <f t="shared" si="4"/>
        <v>1814.3399656666663</v>
      </c>
      <c r="G18" s="59">
        <f t="shared" si="1"/>
        <v>601.99800060819985</v>
      </c>
      <c r="I18" s="266" t="s">
        <v>63</v>
      </c>
      <c r="J18" s="267"/>
      <c r="K18" s="134">
        <f>(K14+K16)</f>
        <v>33.18</v>
      </c>
      <c r="L18" s="130">
        <f>SUM(L14:L17)</f>
        <v>565.77132000000006</v>
      </c>
    </row>
    <row r="19" spans="1:14" ht="15" customHeight="1" x14ac:dyDescent="0.3">
      <c r="A19" s="38">
        <v>22</v>
      </c>
      <c r="B19" s="53">
        <f t="shared" si="3"/>
        <v>1334.9663506666666</v>
      </c>
      <c r="C19" s="54">
        <f t="shared" si="0"/>
        <v>1049.4000000000001</v>
      </c>
      <c r="D19" s="53">
        <f t="shared" si="2"/>
        <v>442.94183515119994</v>
      </c>
      <c r="E19" s="38">
        <v>22</v>
      </c>
      <c r="F19" s="53">
        <f t="shared" si="4"/>
        <v>1735.4556193333331</v>
      </c>
      <c r="G19" s="59">
        <f t="shared" si="1"/>
        <v>575.82417449479988</v>
      </c>
      <c r="I19" s="126"/>
      <c r="J19" s="127"/>
      <c r="K19" s="128"/>
      <c r="L19" s="129"/>
    </row>
    <row r="20" spans="1:14" ht="15" customHeight="1" x14ac:dyDescent="0.3">
      <c r="A20" s="38">
        <v>21</v>
      </c>
      <c r="B20" s="53">
        <f t="shared" si="3"/>
        <v>1274.2860619999999</v>
      </c>
      <c r="C20" s="54">
        <f t="shared" si="0"/>
        <v>1001.7</v>
      </c>
      <c r="D20" s="53">
        <f t="shared" si="2"/>
        <v>422.80811537159997</v>
      </c>
      <c r="E20" s="38">
        <v>21</v>
      </c>
      <c r="F20" s="53">
        <f t="shared" si="4"/>
        <v>1656.5712729999998</v>
      </c>
      <c r="G20" s="59">
        <f t="shared" si="1"/>
        <v>549.65034838139991</v>
      </c>
      <c r="I20" s="270" t="s">
        <v>77</v>
      </c>
      <c r="J20" s="270"/>
      <c r="K20" s="270"/>
      <c r="L20" s="270"/>
      <c r="M20" s="270"/>
      <c r="N20" s="270"/>
    </row>
    <row r="21" spans="1:14" ht="15" customHeight="1" x14ac:dyDescent="0.3">
      <c r="A21" s="38">
        <v>20</v>
      </c>
      <c r="B21" s="53">
        <f t="shared" si="3"/>
        <v>1213.6057733333332</v>
      </c>
      <c r="C21" s="54">
        <f t="shared" si="0"/>
        <v>954.00000000000011</v>
      </c>
      <c r="D21" s="53">
        <f t="shared" si="2"/>
        <v>402.67439559199994</v>
      </c>
      <c r="E21" s="38">
        <v>20</v>
      </c>
      <c r="F21" s="53">
        <f t="shared" si="4"/>
        <v>1577.6869266666663</v>
      </c>
      <c r="G21" s="59">
        <f t="shared" si="1"/>
        <v>523.47652226799983</v>
      </c>
      <c r="I21" s="270"/>
      <c r="J21" s="270"/>
      <c r="K21" s="270"/>
      <c r="L21" s="270"/>
      <c r="M21" s="270"/>
      <c r="N21" s="270"/>
    </row>
    <row r="22" spans="1:14" ht="15" customHeight="1" thickBot="1" x14ac:dyDescent="0.35">
      <c r="A22" s="38">
        <v>19</v>
      </c>
      <c r="B22" s="53">
        <f t="shared" si="3"/>
        <v>1152.9254846666665</v>
      </c>
      <c r="C22" s="54">
        <f t="shared" si="0"/>
        <v>906.30000000000007</v>
      </c>
      <c r="D22" s="53">
        <f t="shared" si="2"/>
        <v>382.54067581239991</v>
      </c>
      <c r="E22" s="38">
        <v>19</v>
      </c>
      <c r="F22" s="53">
        <f t="shared" si="4"/>
        <v>1498.802580333333</v>
      </c>
      <c r="G22" s="59">
        <f t="shared" si="1"/>
        <v>497.30269615459986</v>
      </c>
      <c r="I22" s="35"/>
      <c r="J22" s="19"/>
      <c r="L22" s="115"/>
    </row>
    <row r="23" spans="1:14" ht="15" customHeight="1" x14ac:dyDescent="0.3">
      <c r="A23" s="38">
        <v>18</v>
      </c>
      <c r="B23" s="53">
        <f t="shared" si="3"/>
        <v>1092.2451960000001</v>
      </c>
      <c r="C23" s="54">
        <f t="shared" si="0"/>
        <v>858.60000000000014</v>
      </c>
      <c r="D23" s="53">
        <f t="shared" si="2"/>
        <v>362.4069560328</v>
      </c>
      <c r="E23" s="38">
        <v>18</v>
      </c>
      <c r="F23" s="53">
        <f t="shared" si="4"/>
        <v>1419.9182339999998</v>
      </c>
      <c r="G23" s="59">
        <f t="shared" si="1"/>
        <v>471.12887004119989</v>
      </c>
      <c r="I23" s="234" t="s">
        <v>64</v>
      </c>
      <c r="J23" s="234"/>
      <c r="K23" s="235"/>
      <c r="L23" s="236">
        <v>0</v>
      </c>
    </row>
    <row r="24" spans="1:14" ht="15" customHeight="1" thickBot="1" x14ac:dyDescent="0.35">
      <c r="A24" s="38">
        <v>17</v>
      </c>
      <c r="B24" s="53">
        <f t="shared" si="3"/>
        <v>1031.5649073333332</v>
      </c>
      <c r="C24" s="54">
        <f t="shared" si="0"/>
        <v>810.9</v>
      </c>
      <c r="D24" s="53">
        <f t="shared" si="2"/>
        <v>342.27323625319991</v>
      </c>
      <c r="E24" s="38">
        <v>17</v>
      </c>
      <c r="F24" s="53">
        <f t="shared" si="4"/>
        <v>1341.0338876666665</v>
      </c>
      <c r="G24" s="59">
        <f t="shared" si="1"/>
        <v>444.95504392779992</v>
      </c>
      <c r="I24" s="234"/>
      <c r="J24" s="234"/>
      <c r="K24" s="235"/>
      <c r="L24" s="237"/>
    </row>
    <row r="25" spans="1:14" ht="15" customHeight="1" thickBot="1" x14ac:dyDescent="0.35">
      <c r="A25" s="38">
        <v>16</v>
      </c>
      <c r="B25" s="53">
        <f t="shared" si="3"/>
        <v>970.8846186666666</v>
      </c>
      <c r="C25" s="54">
        <f t="shared" si="0"/>
        <v>763.2</v>
      </c>
      <c r="D25" s="53">
        <f t="shared" si="2"/>
        <v>322.13951647359994</v>
      </c>
      <c r="E25" s="38">
        <v>16</v>
      </c>
      <c r="F25" s="53">
        <f t="shared" si="4"/>
        <v>1262.149541333333</v>
      </c>
      <c r="G25" s="59">
        <f t="shared" si="1"/>
        <v>418.78121781439984</v>
      </c>
      <c r="I25" s="35"/>
      <c r="J25" s="19"/>
      <c r="L25" s="115"/>
    </row>
    <row r="26" spans="1:14" ht="15" customHeight="1" x14ac:dyDescent="0.3">
      <c r="A26" s="38">
        <v>15</v>
      </c>
      <c r="B26" s="53">
        <f t="shared" si="3"/>
        <v>910.20433000000003</v>
      </c>
      <c r="C26" s="54">
        <f t="shared" si="0"/>
        <v>715.5</v>
      </c>
      <c r="D26" s="53">
        <f t="shared" si="2"/>
        <v>302.00579669399997</v>
      </c>
      <c r="E26" s="38">
        <v>15</v>
      </c>
      <c r="F26" s="53">
        <f t="shared" si="4"/>
        <v>1183.2651949999997</v>
      </c>
      <c r="G26" s="59">
        <f t="shared" si="1"/>
        <v>392.60739170099987</v>
      </c>
      <c r="I26" s="234" t="s">
        <v>68</v>
      </c>
      <c r="J26" s="234"/>
      <c r="K26" s="235"/>
      <c r="L26" s="238">
        <v>0</v>
      </c>
    </row>
    <row r="27" spans="1:14" ht="15" customHeight="1" thickBot="1" x14ac:dyDescent="0.35">
      <c r="A27" s="38">
        <v>14</v>
      </c>
      <c r="B27" s="53">
        <f t="shared" si="3"/>
        <v>849.52404133333334</v>
      </c>
      <c r="C27" s="54">
        <f t="shared" si="0"/>
        <v>667.80000000000018</v>
      </c>
      <c r="D27" s="53">
        <f t="shared" si="2"/>
        <v>281.8720769144</v>
      </c>
      <c r="E27" s="38">
        <v>14</v>
      </c>
      <c r="F27" s="53">
        <f t="shared" si="4"/>
        <v>1104.3808486666665</v>
      </c>
      <c r="G27" s="59">
        <f t="shared" si="1"/>
        <v>366.4335655875999</v>
      </c>
      <c r="I27" s="234"/>
      <c r="J27" s="234"/>
      <c r="K27" s="235"/>
      <c r="L27" s="239"/>
    </row>
    <row r="28" spans="1:14" ht="15" customHeight="1" thickBot="1" x14ac:dyDescent="0.35">
      <c r="A28" s="38">
        <v>13</v>
      </c>
      <c r="B28" s="53">
        <f t="shared" si="3"/>
        <v>788.84375266666655</v>
      </c>
      <c r="C28" s="54">
        <f t="shared" si="0"/>
        <v>620.1</v>
      </c>
      <c r="D28" s="53">
        <f t="shared" si="2"/>
        <v>261.73835713479997</v>
      </c>
      <c r="E28" s="38">
        <v>13</v>
      </c>
      <c r="F28" s="53">
        <f t="shared" si="4"/>
        <v>1025.4965023333332</v>
      </c>
      <c r="G28" s="59">
        <f t="shared" si="1"/>
        <v>340.25973947419993</v>
      </c>
      <c r="I28" s="35"/>
      <c r="J28" s="19"/>
      <c r="L28" s="115"/>
    </row>
    <row r="29" spans="1:14" ht="15" customHeight="1" x14ac:dyDescent="0.3">
      <c r="A29" s="38">
        <v>12</v>
      </c>
      <c r="B29" s="53">
        <f t="shared" si="3"/>
        <v>728.16346399999998</v>
      </c>
      <c r="C29" s="54">
        <f t="shared" si="0"/>
        <v>572.4</v>
      </c>
      <c r="D29" s="53">
        <f t="shared" si="2"/>
        <v>241.60463735519997</v>
      </c>
      <c r="E29" s="38">
        <v>12</v>
      </c>
      <c r="F29" s="53">
        <f t="shared" si="4"/>
        <v>946.6121559999998</v>
      </c>
      <c r="G29" s="59">
        <f t="shared" si="1"/>
        <v>314.08591336079991</v>
      </c>
      <c r="I29" s="240" t="s">
        <v>65</v>
      </c>
      <c r="J29" s="241"/>
      <c r="K29" s="241"/>
      <c r="L29" s="242"/>
    </row>
    <row r="30" spans="1:14" ht="15" customHeight="1" thickBot="1" x14ac:dyDescent="0.35">
      <c r="A30" s="38">
        <v>11</v>
      </c>
      <c r="B30" s="53">
        <f t="shared" si="3"/>
        <v>667.48317533333329</v>
      </c>
      <c r="C30" s="54">
        <f t="shared" si="0"/>
        <v>524.70000000000005</v>
      </c>
      <c r="D30" s="53">
        <f t="shared" si="2"/>
        <v>221.47091757559997</v>
      </c>
      <c r="E30" s="38">
        <v>11</v>
      </c>
      <c r="F30" s="53">
        <f t="shared" si="4"/>
        <v>867.72780966666653</v>
      </c>
      <c r="G30" s="59">
        <f t="shared" si="1"/>
        <v>287.91208724739994</v>
      </c>
      <c r="I30" s="243"/>
      <c r="J30" s="244"/>
      <c r="K30" s="244"/>
      <c r="L30" s="245"/>
    </row>
    <row r="31" spans="1:14" ht="15" customHeight="1" thickBot="1" x14ac:dyDescent="0.35">
      <c r="A31" s="38">
        <v>10</v>
      </c>
      <c r="B31" s="53">
        <f t="shared" si="3"/>
        <v>606.80288666666661</v>
      </c>
      <c r="C31" s="54">
        <f t="shared" si="0"/>
        <v>477.00000000000006</v>
      </c>
      <c r="D31" s="53">
        <f t="shared" si="2"/>
        <v>201.33719779599997</v>
      </c>
      <c r="E31" s="38">
        <v>10</v>
      </c>
      <c r="F31" s="53">
        <f t="shared" si="4"/>
        <v>788.84346333333315</v>
      </c>
      <c r="G31" s="59">
        <f t="shared" si="1"/>
        <v>261.73826113399991</v>
      </c>
      <c r="I31" s="137" t="s">
        <v>69</v>
      </c>
      <c r="J31" s="135" t="s">
        <v>55</v>
      </c>
      <c r="K31" s="133" t="s">
        <v>70</v>
      </c>
      <c r="L31" s="119" t="s">
        <v>57</v>
      </c>
    </row>
    <row r="32" spans="1:14" ht="15" customHeight="1" x14ac:dyDescent="0.3">
      <c r="A32" s="38">
        <v>9</v>
      </c>
      <c r="B32" s="53">
        <f t="shared" si="3"/>
        <v>546.12259800000004</v>
      </c>
      <c r="C32" s="54">
        <f t="shared" si="0"/>
        <v>429.30000000000007</v>
      </c>
      <c r="D32" s="53">
        <f t="shared" si="2"/>
        <v>181.2034780164</v>
      </c>
      <c r="E32" s="38">
        <v>9</v>
      </c>
      <c r="F32" s="53">
        <f t="shared" si="4"/>
        <v>709.95911699999988</v>
      </c>
      <c r="G32" s="59">
        <f t="shared" si="1"/>
        <v>235.56443502059994</v>
      </c>
      <c r="I32" s="226">
        <f>((L23/37.5*7.5*5)/7)*30*$C$46</f>
        <v>0</v>
      </c>
      <c r="J32" s="228">
        <f>IF(L26&lt;I32,I32,L26)</f>
        <v>0</v>
      </c>
      <c r="K32" s="230">
        <v>33.18</v>
      </c>
      <c r="L32" s="232">
        <f>J32*K32%</f>
        <v>0</v>
      </c>
    </row>
    <row r="33" spans="1:14" ht="15" customHeight="1" thickBot="1" x14ac:dyDescent="0.35">
      <c r="A33" s="38">
        <v>8</v>
      </c>
      <c r="B33" s="53">
        <f t="shared" si="3"/>
        <v>485.4423093333333</v>
      </c>
      <c r="C33" s="54">
        <f t="shared" si="0"/>
        <v>381.6</v>
      </c>
      <c r="D33" s="53">
        <f t="shared" si="2"/>
        <v>161.06975823679997</v>
      </c>
      <c r="E33" s="38">
        <v>8</v>
      </c>
      <c r="F33" s="53">
        <f t="shared" si="4"/>
        <v>631.0747706666665</v>
      </c>
      <c r="G33" s="59">
        <f t="shared" si="1"/>
        <v>209.39060890719992</v>
      </c>
      <c r="I33" s="227"/>
      <c r="J33" s="229"/>
      <c r="K33" s="231"/>
      <c r="L33" s="233"/>
    </row>
    <row r="34" spans="1:14" ht="15" customHeight="1" thickBot="1" x14ac:dyDescent="0.35">
      <c r="A34" s="38">
        <v>7</v>
      </c>
      <c r="B34" s="53">
        <f t="shared" si="3"/>
        <v>424.76202066666667</v>
      </c>
      <c r="C34" s="54">
        <f t="shared" si="0"/>
        <v>333.90000000000009</v>
      </c>
      <c r="D34" s="53">
        <f t="shared" si="2"/>
        <v>140.9360384572</v>
      </c>
      <c r="E34" s="38">
        <v>7</v>
      </c>
      <c r="F34" s="53">
        <f t="shared" si="4"/>
        <v>552.19042433333323</v>
      </c>
      <c r="G34" s="59">
        <f t="shared" si="1"/>
        <v>183.21678279379995</v>
      </c>
      <c r="I34" s="221" t="s">
        <v>66</v>
      </c>
      <c r="J34" s="222"/>
      <c r="K34" s="223"/>
      <c r="L34" s="130">
        <f>SUM(L32)</f>
        <v>0</v>
      </c>
    </row>
    <row r="35" spans="1:14" ht="15" customHeight="1" x14ac:dyDescent="0.3">
      <c r="A35" s="38">
        <v>6</v>
      </c>
      <c r="B35" s="53">
        <f t="shared" si="3"/>
        <v>364.08173199999999</v>
      </c>
      <c r="C35" s="54">
        <f t="shared" si="0"/>
        <v>286.2</v>
      </c>
      <c r="D35" s="53">
        <f t="shared" si="2"/>
        <v>120.80231867759998</v>
      </c>
      <c r="E35" s="38">
        <v>6</v>
      </c>
      <c r="F35" s="53">
        <f t="shared" si="4"/>
        <v>473.3060779999999</v>
      </c>
      <c r="G35" s="59">
        <f t="shared" si="1"/>
        <v>157.04295668039995</v>
      </c>
      <c r="I35" s="35"/>
      <c r="J35" s="19"/>
      <c r="L35" s="115"/>
      <c r="N35" s="136"/>
    </row>
    <row r="36" spans="1:14" ht="15" customHeight="1" x14ac:dyDescent="0.3">
      <c r="A36" s="38">
        <v>5</v>
      </c>
      <c r="B36" s="53">
        <f t="shared" si="3"/>
        <v>303.4014433333333</v>
      </c>
      <c r="C36" s="54">
        <f t="shared" si="0"/>
        <v>238.50000000000003</v>
      </c>
      <c r="D36" s="53">
        <f t="shared" si="2"/>
        <v>100.66859889799998</v>
      </c>
      <c r="E36" s="38">
        <v>5</v>
      </c>
      <c r="F36" s="53">
        <f t="shared" si="4"/>
        <v>394.42173166666657</v>
      </c>
      <c r="G36" s="59">
        <f t="shared" si="1"/>
        <v>130.86913056699996</v>
      </c>
      <c r="I36" s="224" t="s">
        <v>67</v>
      </c>
      <c r="J36" s="224"/>
      <c r="K36" s="224"/>
      <c r="L36" s="224"/>
      <c r="M36" s="225" t="s">
        <v>101</v>
      </c>
      <c r="N36" s="136"/>
    </row>
    <row r="37" spans="1:14" ht="15" customHeight="1" x14ac:dyDescent="0.3">
      <c r="A37" s="38">
        <v>4</v>
      </c>
      <c r="B37" s="53">
        <f t="shared" si="3"/>
        <v>242.72115466666665</v>
      </c>
      <c r="C37" s="54">
        <f t="shared" si="0"/>
        <v>190.8</v>
      </c>
      <c r="D37" s="53">
        <f t="shared" si="2"/>
        <v>80.534879118399985</v>
      </c>
      <c r="E37" s="38">
        <v>4</v>
      </c>
      <c r="F37" s="53">
        <f t="shared" si="4"/>
        <v>315.53738533333325</v>
      </c>
      <c r="G37" s="59">
        <f t="shared" si="1"/>
        <v>104.69530445359996</v>
      </c>
      <c r="I37" s="224"/>
      <c r="J37" s="224"/>
      <c r="K37" s="224"/>
      <c r="L37" s="224"/>
      <c r="M37" s="225"/>
      <c r="N37" s="136"/>
    </row>
    <row r="38" spans="1:14" ht="15" customHeight="1" x14ac:dyDescent="0.3">
      <c r="A38" s="38">
        <v>3</v>
      </c>
      <c r="B38" s="53">
        <f t="shared" si="3"/>
        <v>182.04086599999999</v>
      </c>
      <c r="C38" s="54">
        <f t="shared" si="0"/>
        <v>143.1</v>
      </c>
      <c r="D38" s="53">
        <f t="shared" si="2"/>
        <v>60.401159338799992</v>
      </c>
      <c r="E38" s="38">
        <v>3</v>
      </c>
      <c r="F38" s="53">
        <f t="shared" si="4"/>
        <v>236.65303899999995</v>
      </c>
      <c r="G38" s="59">
        <f t="shared" si="1"/>
        <v>78.521478340199977</v>
      </c>
      <c r="I38" s="8"/>
    </row>
    <row r="39" spans="1:14" ht="15" customHeight="1" x14ac:dyDescent="0.3">
      <c r="A39" s="38">
        <v>2</v>
      </c>
      <c r="B39" s="53">
        <f t="shared" si="3"/>
        <v>121.36057733333332</v>
      </c>
      <c r="C39" s="54">
        <f t="shared" si="0"/>
        <v>95.4</v>
      </c>
      <c r="D39" s="53">
        <f t="shared" si="2"/>
        <v>40.267439559199993</v>
      </c>
      <c r="E39" s="38">
        <v>2</v>
      </c>
      <c r="F39" s="53">
        <f t="shared" si="4"/>
        <v>157.76869266666662</v>
      </c>
      <c r="G39" s="59">
        <f t="shared" si="1"/>
        <v>52.34765222679998</v>
      </c>
      <c r="I39" s="8"/>
    </row>
    <row r="40" spans="1:14" ht="15" customHeight="1" x14ac:dyDescent="0.3">
      <c r="A40" s="39">
        <v>1</v>
      </c>
      <c r="B40" s="55">
        <f t="shared" si="3"/>
        <v>60.680288666666662</v>
      </c>
      <c r="C40" s="56">
        <f t="shared" si="0"/>
        <v>47.7</v>
      </c>
      <c r="D40" s="55">
        <f t="shared" si="2"/>
        <v>20.133719779599996</v>
      </c>
      <c r="E40" s="39">
        <v>1</v>
      </c>
      <c r="F40" s="55">
        <f t="shared" si="4"/>
        <v>78.884346333333312</v>
      </c>
      <c r="G40" s="55">
        <f t="shared" si="1"/>
        <v>26.17382611339999</v>
      </c>
      <c r="I40" s="8"/>
    </row>
    <row r="41" spans="1:14" hidden="1" x14ac:dyDescent="0.3">
      <c r="C41" s="211" t="s">
        <v>93</v>
      </c>
      <c r="D41" s="201"/>
    </row>
    <row r="42" spans="1:14" hidden="1" x14ac:dyDescent="0.3">
      <c r="C42" s="214"/>
      <c r="D42" s="201"/>
    </row>
    <row r="43" spans="1:14" hidden="1" x14ac:dyDescent="0.3">
      <c r="C43" s="214"/>
      <c r="D43" s="201"/>
    </row>
    <row r="44" spans="1:14" hidden="1" x14ac:dyDescent="0.3">
      <c r="C44" s="214"/>
      <c r="D44" s="201"/>
    </row>
    <row r="45" spans="1:14" ht="14" hidden="1" thickBot="1" x14ac:dyDescent="0.35"/>
    <row r="46" spans="1:14" ht="42" hidden="1" customHeight="1" thickBot="1" x14ac:dyDescent="0.35">
      <c r="B46" s="202" t="s">
        <v>14</v>
      </c>
      <c r="C46" s="203">
        <v>11.13</v>
      </c>
      <c r="E46" s="17"/>
    </row>
    <row r="47" spans="1:14" hidden="1" x14ac:dyDescent="0.3"/>
    <row r="48" spans="1:14" hidden="1" x14ac:dyDescent="0.3"/>
    <row r="49" hidden="1" x14ac:dyDescent="0.3"/>
    <row r="50" hidden="1" x14ac:dyDescent="0.3"/>
    <row r="51" hidden="1" x14ac:dyDescent="0.3"/>
  </sheetData>
  <sheetProtection algorithmName="SHA-512" hashValue="4ZPi/SNRzKd25GVJsgs2Ijtt+i/roxfoQb6+rPViHqqkWVLGOzpiZi05xddcgHnde61fFmFOffCRN0mtgtFlXQ==" saltValue="nxY0N9AaqfZshDkH6W5/bg==" spinCount="100000" sheet="1" objects="1" scenarios="1"/>
  <protectedRanges>
    <protectedRange sqref="M36" name="CALCULO RC"/>
    <protectedRange sqref="L8 L26" name="RET TC_1"/>
    <protectedRange sqref="L23" name="DED_1"/>
  </protectedRanges>
  <mergeCells count="35">
    <mergeCell ref="B2:D2"/>
    <mergeCell ref="F2:G2"/>
    <mergeCell ref="A1:G1"/>
    <mergeCell ref="I2:K2"/>
    <mergeCell ref="L2:M2"/>
    <mergeCell ref="I4:I5"/>
    <mergeCell ref="J4:J5"/>
    <mergeCell ref="K4:K5"/>
    <mergeCell ref="L4:L5"/>
    <mergeCell ref="M4:M5"/>
    <mergeCell ref="I8:K9"/>
    <mergeCell ref="L8:L9"/>
    <mergeCell ref="I11:L12"/>
    <mergeCell ref="I14:I15"/>
    <mergeCell ref="J14:J15"/>
    <mergeCell ref="K14:K15"/>
    <mergeCell ref="L14:L15"/>
    <mergeCell ref="I16:I17"/>
    <mergeCell ref="J16:J17"/>
    <mergeCell ref="K16:K17"/>
    <mergeCell ref="L16:L17"/>
    <mergeCell ref="I18:J18"/>
    <mergeCell ref="I20:N21"/>
    <mergeCell ref="I23:K24"/>
    <mergeCell ref="L23:L24"/>
    <mergeCell ref="I26:K27"/>
    <mergeCell ref="L26:L27"/>
    <mergeCell ref="I34:K34"/>
    <mergeCell ref="I36:L37"/>
    <mergeCell ref="M36:M37"/>
    <mergeCell ref="I29:L30"/>
    <mergeCell ref="I32:I33"/>
    <mergeCell ref="J32:J33"/>
    <mergeCell ref="K32:K33"/>
    <mergeCell ref="L32:L33"/>
  </mergeCells>
  <hyperlinks>
    <hyperlink ref="M36:M37" r:id="rId1" display="CALCULO RC" xr:uid="{00000000-0004-0000-0100-000000000000}"/>
  </hyperlinks>
  <pageMargins left="0.94488188976377963" right="0.86614173228346458" top="0" bottom="0.39370078740157483" header="0" footer="0"/>
  <pageSetup paperSize="9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9"/>
  <sheetViews>
    <sheetView zoomScale="71" zoomScaleNormal="71" workbookViewId="0">
      <selection activeCell="B4" sqref="B4"/>
    </sheetView>
  </sheetViews>
  <sheetFormatPr baseColWidth="10" defaultColWidth="11.54296875" defaultRowHeight="14" x14ac:dyDescent="0.3"/>
  <cols>
    <col min="1" max="1" width="32" style="168" customWidth="1"/>
    <col min="2" max="2" width="20.08984375" style="70" customWidth="1"/>
    <col min="3" max="3" width="23.81640625" style="70" customWidth="1"/>
    <col min="4" max="4" width="24.81640625" style="70" customWidth="1"/>
    <col min="5" max="5" width="5.81640625" style="5" customWidth="1"/>
    <col min="6" max="6" width="26.54296875" style="7" customWidth="1"/>
    <col min="7" max="7" width="15.453125" style="5" customWidth="1"/>
    <col min="8" max="8" width="19" style="5" bestFit="1" customWidth="1"/>
    <col min="9" max="9" width="17.90625" style="5" customWidth="1"/>
    <col min="10" max="10" width="18.36328125" style="5" customWidth="1"/>
    <col min="11" max="11" width="4.1796875" style="5" customWidth="1"/>
    <col min="12" max="12" width="26.36328125" style="5" customWidth="1"/>
    <col min="13" max="13" width="19.81640625" style="5" customWidth="1"/>
    <col min="14" max="14" width="18.81640625" style="5" customWidth="1"/>
    <col min="15" max="15" width="15.453125" style="5" bestFit="1" customWidth="1"/>
    <col min="16" max="16384" width="11.54296875" style="5"/>
  </cols>
  <sheetData>
    <row r="1" spans="1:15" s="8" customFormat="1" ht="55.5" customHeight="1" thickBot="1" x14ac:dyDescent="0.35">
      <c r="A1" s="290" t="s">
        <v>96</v>
      </c>
      <c r="B1" s="291"/>
      <c r="C1" s="291"/>
      <c r="D1" s="292"/>
      <c r="F1" s="158" t="s">
        <v>82</v>
      </c>
      <c r="G1" s="293" t="s">
        <v>50</v>
      </c>
      <c r="H1" s="294"/>
      <c r="I1" s="293" t="s">
        <v>54</v>
      </c>
      <c r="J1" s="294"/>
    </row>
    <row r="2" spans="1:15" s="36" customFormat="1" ht="34.5" customHeight="1" x14ac:dyDescent="0.25">
      <c r="A2" s="164" t="s">
        <v>81</v>
      </c>
      <c r="B2" s="288" t="s">
        <v>47</v>
      </c>
      <c r="C2" s="289"/>
      <c r="D2" s="289"/>
      <c r="E2" s="174"/>
      <c r="F2" s="124" t="s">
        <v>83</v>
      </c>
      <c r="G2" s="124" t="s">
        <v>60</v>
      </c>
      <c r="H2" s="124" t="s">
        <v>61</v>
      </c>
      <c r="I2" s="125" t="s">
        <v>52</v>
      </c>
      <c r="J2" s="124" t="s">
        <v>53</v>
      </c>
    </row>
    <row r="3" spans="1:15" s="27" customFormat="1" ht="35.5" customHeight="1" x14ac:dyDescent="0.3">
      <c r="A3" s="139"/>
      <c r="B3" s="65" t="s">
        <v>92</v>
      </c>
      <c r="C3" s="140" t="s">
        <v>79</v>
      </c>
      <c r="D3" s="140" t="s">
        <v>85</v>
      </c>
      <c r="F3" s="141">
        <v>9.82</v>
      </c>
      <c r="G3" s="204">
        <v>1759.5</v>
      </c>
      <c r="H3" s="204">
        <v>4495.5</v>
      </c>
      <c r="I3" s="205">
        <v>1260</v>
      </c>
      <c r="J3" s="205">
        <v>4495.5</v>
      </c>
    </row>
    <row r="4" spans="1:15" s="21" customFormat="1" ht="30.75" customHeight="1" thickBot="1" x14ac:dyDescent="0.3">
      <c r="A4" s="165" t="s">
        <v>80</v>
      </c>
      <c r="B4" s="148">
        <v>31674.720000000001</v>
      </c>
      <c r="C4" s="177">
        <f>B4/12</f>
        <v>2639.56</v>
      </c>
      <c r="D4" s="178">
        <f>B4/14</f>
        <v>2262.48</v>
      </c>
      <c r="F4" s="153"/>
      <c r="G4" s="154"/>
      <c r="H4" s="154"/>
      <c r="I4" s="155"/>
      <c r="J4" s="155"/>
    </row>
    <row r="5" spans="1:15" s="8" customFormat="1" ht="24" customHeight="1" thickBot="1" x14ac:dyDescent="0.35">
      <c r="A5" s="166" t="s">
        <v>71</v>
      </c>
      <c r="B5" s="149">
        <f>B4*56%</f>
        <v>17737.843200000003</v>
      </c>
      <c r="C5" s="149">
        <f>B5/12</f>
        <v>1478.1536000000003</v>
      </c>
      <c r="D5" s="150">
        <f>B5/14</f>
        <v>1266.9888000000003</v>
      </c>
      <c r="F5" s="280" t="s">
        <v>94</v>
      </c>
      <c r="G5" s="280"/>
      <c r="H5" s="280"/>
      <c r="I5" s="210">
        <v>0</v>
      </c>
      <c r="L5" s="280" t="s">
        <v>94</v>
      </c>
      <c r="M5" s="280"/>
      <c r="N5" s="280"/>
      <c r="O5" s="210">
        <v>0</v>
      </c>
    </row>
    <row r="6" spans="1:15" s="8" customFormat="1" ht="24" customHeight="1" x14ac:dyDescent="0.3">
      <c r="A6" s="166" t="s">
        <v>72</v>
      </c>
      <c r="B6" s="149">
        <f>B4*56%</f>
        <v>17737.843200000003</v>
      </c>
      <c r="C6" s="179">
        <f>B6/12</f>
        <v>1478.1536000000003</v>
      </c>
      <c r="D6" s="175">
        <f t="shared" ref="D6:D10" si="0">B6/14</f>
        <v>1266.9888000000003</v>
      </c>
      <c r="F6" s="281" t="s">
        <v>103</v>
      </c>
      <c r="G6" s="282"/>
      <c r="H6" s="282"/>
      <c r="I6" s="283"/>
      <c r="J6" s="157"/>
      <c r="L6" s="281" t="s">
        <v>104</v>
      </c>
      <c r="M6" s="282"/>
      <c r="N6" s="282"/>
      <c r="O6" s="283"/>
    </row>
    <row r="7" spans="1:15" s="8" customFormat="1" ht="24" customHeight="1" thickBot="1" x14ac:dyDescent="0.35">
      <c r="A7" s="166" t="s">
        <v>73</v>
      </c>
      <c r="B7" s="149">
        <f>B4*60%</f>
        <v>19004.831999999999</v>
      </c>
      <c r="C7" s="179">
        <f>B7/12</f>
        <v>1583.7359999999999</v>
      </c>
      <c r="D7" s="175">
        <f t="shared" si="0"/>
        <v>1357.4879999999998</v>
      </c>
      <c r="F7" s="284"/>
      <c r="G7" s="285"/>
      <c r="H7" s="285"/>
      <c r="I7" s="286"/>
      <c r="J7" s="157"/>
      <c r="L7" s="284"/>
      <c r="M7" s="285"/>
      <c r="N7" s="285"/>
      <c r="O7" s="286"/>
    </row>
    <row r="8" spans="1:15" s="8" customFormat="1" ht="24" customHeight="1" thickBot="1" x14ac:dyDescent="0.35">
      <c r="A8" s="166" t="s">
        <v>74</v>
      </c>
      <c r="B8" s="149">
        <f>B4*75%</f>
        <v>23756.04</v>
      </c>
      <c r="C8" s="149">
        <f>B8/12</f>
        <v>1979.67</v>
      </c>
      <c r="D8" s="150">
        <f t="shared" si="0"/>
        <v>1696.8600000000001</v>
      </c>
      <c r="F8" s="117"/>
      <c r="G8" s="135" t="s">
        <v>55</v>
      </c>
      <c r="H8" s="159" t="s">
        <v>56</v>
      </c>
      <c r="I8" s="142" t="s">
        <v>57</v>
      </c>
      <c r="J8" s="215" t="s">
        <v>99</v>
      </c>
      <c r="L8" s="117"/>
      <c r="M8" s="135" t="s">
        <v>55</v>
      </c>
      <c r="N8" s="159" t="s">
        <v>56</v>
      </c>
      <c r="O8" s="142" t="s">
        <v>57</v>
      </c>
    </row>
    <row r="9" spans="1:15" s="8" customFormat="1" ht="15" customHeight="1" x14ac:dyDescent="0.3">
      <c r="A9" s="166"/>
      <c r="B9" s="149"/>
      <c r="C9" s="149"/>
      <c r="D9" s="150"/>
      <c r="F9" s="278" t="s">
        <v>58</v>
      </c>
      <c r="G9" s="246">
        <f>IF($I$5&gt;=$G$3,$I$5,$G$3)</f>
        <v>1759.5</v>
      </c>
      <c r="H9" s="230">
        <v>24.18</v>
      </c>
      <c r="I9" s="246">
        <f>(G9*H9%)</f>
        <v>425.44709999999998</v>
      </c>
      <c r="J9" s="246">
        <f>I9-115</f>
        <v>310.44709999999998</v>
      </c>
      <c r="L9" s="278" t="s">
        <v>58</v>
      </c>
      <c r="M9" s="246">
        <f>IF($O$5&gt;=$G$3,$O$5,$G$3)</f>
        <v>1759.5</v>
      </c>
      <c r="N9" s="230">
        <v>17.100000000000001</v>
      </c>
      <c r="O9" s="246">
        <f>M9*N9%</f>
        <v>300.87450000000001</v>
      </c>
    </row>
    <row r="10" spans="1:15" s="8" customFormat="1" ht="15" customHeight="1" thickBot="1" x14ac:dyDescent="0.35">
      <c r="A10" s="167" t="s">
        <v>75</v>
      </c>
      <c r="B10" s="151">
        <f>(SUM(B5:B8))/4</f>
        <v>19559.139600000002</v>
      </c>
      <c r="C10" s="180">
        <f>(SUM(C5:C8))/4</f>
        <v>1629.9283</v>
      </c>
      <c r="D10" s="176">
        <f t="shared" si="0"/>
        <v>1397.0814000000003</v>
      </c>
      <c r="F10" s="279"/>
      <c r="G10" s="247"/>
      <c r="H10" s="231"/>
      <c r="I10" s="247"/>
      <c r="J10" s="247"/>
      <c r="L10" s="279"/>
      <c r="M10" s="247"/>
      <c r="N10" s="231"/>
      <c r="O10" s="247"/>
    </row>
    <row r="11" spans="1:15" ht="14.25" customHeight="1" x14ac:dyDescent="0.3">
      <c r="F11" s="278" t="s">
        <v>59</v>
      </c>
      <c r="G11" s="246">
        <f>IF($I$5&gt;=$I$3,$I$5,$I$3)</f>
        <v>1260</v>
      </c>
      <c r="H11" s="230">
        <v>9</v>
      </c>
      <c r="I11" s="246">
        <f>G11*H11%</f>
        <v>113.39999999999999</v>
      </c>
      <c r="J11" s="246">
        <f>I11</f>
        <v>113.39999999999999</v>
      </c>
      <c r="L11" s="278" t="s">
        <v>59</v>
      </c>
      <c r="M11" s="246">
        <f>IF($O$5&gt;=$I$3,$O$5,$I$3)</f>
        <v>1260</v>
      </c>
      <c r="N11" s="230">
        <v>9</v>
      </c>
      <c r="O11" s="246">
        <f>M11*N11%</f>
        <v>113.39999999999999</v>
      </c>
    </row>
    <row r="12" spans="1:15" ht="14.5" thickBot="1" x14ac:dyDescent="0.35">
      <c r="F12" s="279"/>
      <c r="G12" s="247"/>
      <c r="H12" s="231"/>
      <c r="I12" s="247"/>
      <c r="J12" s="247"/>
      <c r="L12" s="279"/>
      <c r="M12" s="247"/>
      <c r="N12" s="231"/>
      <c r="O12" s="247"/>
    </row>
    <row r="13" spans="1:15" ht="24" customHeight="1" thickBot="1" x14ac:dyDescent="0.35">
      <c r="A13" s="224" t="s">
        <v>102</v>
      </c>
      <c r="B13" s="224"/>
      <c r="C13" s="224"/>
      <c r="D13" s="224"/>
      <c r="F13" s="266" t="s">
        <v>84</v>
      </c>
      <c r="G13" s="267"/>
      <c r="H13" s="161">
        <f>SUM(H9:H12)</f>
        <v>33.18</v>
      </c>
      <c r="I13" s="216">
        <f>SUM(I9:I12)</f>
        <v>538.84709999999995</v>
      </c>
      <c r="J13" s="156">
        <f>SUM(J9:J12)</f>
        <v>423.84709999999995</v>
      </c>
      <c r="L13" s="266" t="s">
        <v>84</v>
      </c>
      <c r="M13" s="267"/>
      <c r="N13" s="161">
        <f>SUM(N9:N12)</f>
        <v>26.1</v>
      </c>
      <c r="O13" s="156">
        <f>SUM(O9:O12)</f>
        <v>414.27449999999999</v>
      </c>
    </row>
    <row r="14" spans="1:15" x14ac:dyDescent="0.3">
      <c r="A14" s="224"/>
      <c r="B14" s="224"/>
      <c r="C14" s="224"/>
      <c r="D14" s="224"/>
    </row>
    <row r="15" spans="1:15" x14ac:dyDescent="0.3">
      <c r="A15" s="287" t="s">
        <v>100</v>
      </c>
      <c r="B15" s="287"/>
      <c r="C15" s="287"/>
      <c r="D15" s="287"/>
    </row>
    <row r="16" spans="1:15" ht="54" customHeight="1" thickBot="1" x14ac:dyDescent="0.35">
      <c r="A16" s="287"/>
      <c r="B16" s="287"/>
      <c r="C16" s="287"/>
      <c r="D16" s="287"/>
    </row>
    <row r="17" spans="1:12" ht="28.5" customHeight="1" thickBot="1" x14ac:dyDescent="0.35">
      <c r="A17" s="169"/>
      <c r="B17"/>
      <c r="C17"/>
      <c r="D17"/>
      <c r="F17" s="280" t="s">
        <v>94</v>
      </c>
      <c r="G17" s="280"/>
      <c r="H17" s="280"/>
      <c r="I17" s="210">
        <v>0</v>
      </c>
    </row>
    <row r="18" spans="1:12" ht="42" customHeight="1" thickBot="1" x14ac:dyDescent="0.35">
      <c r="A18" s="181"/>
      <c r="B18" s="299"/>
      <c r="C18" s="299"/>
      <c r="D18" s="170"/>
      <c r="F18" s="300" t="s">
        <v>98</v>
      </c>
      <c r="G18" s="301"/>
      <c r="H18" s="301"/>
      <c r="I18" s="301"/>
      <c r="J18" s="186"/>
      <c r="L18" s="217"/>
    </row>
    <row r="19" spans="1:12" ht="14.5" thickBot="1" x14ac:dyDescent="0.35">
      <c r="A19" s="172"/>
      <c r="B19" s="172"/>
      <c r="C19" s="172"/>
      <c r="D19" s="172"/>
      <c r="F19" s="160"/>
      <c r="G19" s="135" t="s">
        <v>55</v>
      </c>
      <c r="H19" s="159" t="s">
        <v>56</v>
      </c>
      <c r="I19" s="142" t="s">
        <v>57</v>
      </c>
      <c r="J19" s="181"/>
    </row>
    <row r="20" spans="1:12" ht="21" customHeight="1" x14ac:dyDescent="0.3">
      <c r="A20" s="182"/>
      <c r="B20" s="171"/>
      <c r="C20" s="171"/>
      <c r="D20" s="171"/>
      <c r="F20" s="251" t="s">
        <v>58</v>
      </c>
      <c r="G20" s="246">
        <f>IF($I$17&gt;=$G$3,$I$17,$G$3)</f>
        <v>1759.5</v>
      </c>
      <c r="H20" s="228">
        <v>24.18</v>
      </c>
      <c r="I20" s="297">
        <f>G20*H20%</f>
        <v>425.44709999999998</v>
      </c>
      <c r="J20" s="186"/>
    </row>
    <row r="21" spans="1:12" ht="24.75" customHeight="1" thickBot="1" x14ac:dyDescent="0.35">
      <c r="A21" s="182"/>
      <c r="B21" s="171"/>
      <c r="C21" s="171"/>
      <c r="D21" s="171"/>
      <c r="F21" s="252"/>
      <c r="G21" s="247"/>
      <c r="H21" s="229"/>
      <c r="I21" s="298"/>
      <c r="J21" s="186"/>
    </row>
    <row r="22" spans="1:12" ht="20.25" customHeight="1" x14ac:dyDescent="0.3">
      <c r="A22" s="183"/>
      <c r="B22" s="184"/>
      <c r="C22" s="184"/>
      <c r="D22" s="184"/>
      <c r="F22" s="251" t="s">
        <v>59</v>
      </c>
      <c r="G22" s="246">
        <f>IF($I$17&gt;=$I$3,$I$17,$I$3)</f>
        <v>1260</v>
      </c>
      <c r="H22" s="228">
        <v>9</v>
      </c>
      <c r="I22" s="246">
        <f>G22*H22%</f>
        <v>113.39999999999999</v>
      </c>
      <c r="J22" s="181"/>
    </row>
    <row r="23" spans="1:12" ht="14.25" customHeight="1" thickBot="1" x14ac:dyDescent="0.35">
      <c r="A23" s="163"/>
      <c r="B23" s="163"/>
      <c r="C23" s="173"/>
      <c r="D23" s="173"/>
      <c r="F23" s="252"/>
      <c r="G23" s="247"/>
      <c r="H23" s="229"/>
      <c r="I23" s="247"/>
      <c r="J23" s="181"/>
    </row>
    <row r="24" spans="1:12" ht="25.5" customHeight="1" thickBot="1" x14ac:dyDescent="0.35">
      <c r="A24" s="163"/>
      <c r="B24" s="163"/>
      <c r="C24" s="173"/>
      <c r="D24" s="173"/>
      <c r="F24" s="266" t="s">
        <v>86</v>
      </c>
      <c r="G24" s="267"/>
      <c r="H24" s="161">
        <f>(H20+H22)</f>
        <v>33.18</v>
      </c>
      <c r="I24" s="187">
        <f>(I20+I22)</f>
        <v>538.84709999999995</v>
      </c>
      <c r="J24" s="186"/>
    </row>
    <row r="25" spans="1:12" ht="26.25" customHeight="1" x14ac:dyDescent="0.3">
      <c r="A25" s="183"/>
      <c r="B25" s="184"/>
      <c r="C25" s="184"/>
      <c r="D25" s="184"/>
    </row>
    <row r="26" spans="1:12" ht="20.25" customHeight="1" x14ac:dyDescent="0.3">
      <c r="A26" s="163"/>
      <c r="B26" s="163"/>
      <c r="C26" s="185"/>
      <c r="D26" s="185"/>
      <c r="F26" s="296" t="s">
        <v>67</v>
      </c>
      <c r="G26" s="296"/>
      <c r="H26" s="296"/>
      <c r="I26" s="295" t="s">
        <v>97</v>
      </c>
    </row>
    <row r="27" spans="1:12" ht="20.5" customHeight="1" x14ac:dyDescent="0.3">
      <c r="A27" s="163"/>
      <c r="B27" s="163"/>
      <c r="C27" s="185"/>
      <c r="D27" s="185"/>
      <c r="F27" s="296"/>
      <c r="G27" s="296"/>
      <c r="H27" s="296"/>
      <c r="I27" s="295"/>
    </row>
    <row r="29" spans="1:12" x14ac:dyDescent="0.3">
      <c r="H29" s="162"/>
    </row>
  </sheetData>
  <sheetProtection algorithmName="SHA-512" hashValue="zpvt54vK2dZFgNAiUHxqb1eE5Jeljc6VotDJ8tAQozQDMJjzRZYb+AAsLfvRBBFhElEGlPfB1+PHfWJmssqfzw==" saltValue="3WuKDvSq0K9ootjbrJs+9Q==" spinCount="100000" sheet="1" objects="1" scenarios="1"/>
  <protectedRanges>
    <protectedRange sqref="I26" name="CALCULO RC"/>
    <protectedRange sqref="C26:D26" name="RET PRACTICAS"/>
    <protectedRange sqref="C23:D23" name="DED"/>
    <protectedRange sqref="I5 O5" name="RET PREDOC_1"/>
    <protectedRange sqref="I17" name="RET PREDOC_2"/>
  </protectedRanges>
  <mergeCells count="44">
    <mergeCell ref="B18:C18"/>
    <mergeCell ref="F17:H17"/>
    <mergeCell ref="F18:I18"/>
    <mergeCell ref="H20:H21"/>
    <mergeCell ref="G20:G21"/>
    <mergeCell ref="F20:F21"/>
    <mergeCell ref="I26:I27"/>
    <mergeCell ref="F26:H27"/>
    <mergeCell ref="I20:I21"/>
    <mergeCell ref="I22:I23"/>
    <mergeCell ref="F24:G24"/>
    <mergeCell ref="H22:H23"/>
    <mergeCell ref="G22:G23"/>
    <mergeCell ref="F22:F23"/>
    <mergeCell ref="I11:I12"/>
    <mergeCell ref="F9:F10"/>
    <mergeCell ref="F11:F12"/>
    <mergeCell ref="H9:H10"/>
    <mergeCell ref="I9:I10"/>
    <mergeCell ref="H11:H12"/>
    <mergeCell ref="I1:J1"/>
    <mergeCell ref="G1:H1"/>
    <mergeCell ref="G9:G10"/>
    <mergeCell ref="F5:H5"/>
    <mergeCell ref="F6:I7"/>
    <mergeCell ref="J9:J10"/>
    <mergeCell ref="A15:D16"/>
    <mergeCell ref="B2:D2"/>
    <mergeCell ref="A1:D1"/>
    <mergeCell ref="F13:G13"/>
    <mergeCell ref="G11:G12"/>
    <mergeCell ref="A13:D14"/>
    <mergeCell ref="L13:M13"/>
    <mergeCell ref="L5:N5"/>
    <mergeCell ref="L6:O7"/>
    <mergeCell ref="L9:L10"/>
    <mergeCell ref="M9:M10"/>
    <mergeCell ref="N9:N10"/>
    <mergeCell ref="O9:O10"/>
    <mergeCell ref="J11:J12"/>
    <mergeCell ref="L11:L12"/>
    <mergeCell ref="M11:M12"/>
    <mergeCell ref="N11:N12"/>
    <mergeCell ref="O11:O12"/>
  </mergeCells>
  <hyperlinks>
    <hyperlink ref="I26:I27" r:id="rId1" display="CALCULO RC E INDEMNIZACION" xr:uid="{00000000-0004-0000-0200-000000000000}"/>
  </hyperlinks>
  <pageMargins left="0.94488188976377963" right="0.94488188976377963" top="0" bottom="0.39370078740157483" header="0" footer="0"/>
  <pageSetup paperSize="9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0"/>
  <sheetViews>
    <sheetView topLeftCell="A32" zoomScaleNormal="100" workbookViewId="0">
      <selection activeCell="A42" sqref="A42:XFD50"/>
    </sheetView>
  </sheetViews>
  <sheetFormatPr baseColWidth="10" defaultColWidth="11.54296875" defaultRowHeight="14" x14ac:dyDescent="0.3"/>
  <cols>
    <col min="1" max="1" width="18.453125" style="4" customWidth="1"/>
    <col min="2" max="2" width="28.54296875" style="68" customWidth="1"/>
    <col min="3" max="3" width="8.984375E-2" style="69" customWidth="1"/>
    <col min="4" max="4" width="26.81640625" style="68" customWidth="1"/>
    <col min="5" max="5" width="18.453125" style="5" customWidth="1"/>
    <col min="6" max="6" width="24.81640625" style="68" customWidth="1"/>
    <col min="7" max="7" width="18.453125" style="68" customWidth="1"/>
    <col min="8" max="8" width="11.54296875" style="5"/>
    <col min="9" max="9" width="17.81640625" style="7" customWidth="1"/>
    <col min="10" max="10" width="20.453125" style="5" customWidth="1"/>
    <col min="11" max="11" width="19.453125" style="5" customWidth="1"/>
    <col min="12" max="12" width="17.453125" style="5" customWidth="1"/>
    <col min="13" max="13" width="15.453125" style="5" customWidth="1"/>
    <col min="14" max="16384" width="11.54296875" style="5"/>
  </cols>
  <sheetData>
    <row r="1" spans="1:15" s="8" customFormat="1" ht="65.25" customHeight="1" x14ac:dyDescent="0.3">
      <c r="A1" s="256" t="s">
        <v>108</v>
      </c>
      <c r="B1" s="257"/>
      <c r="C1" s="257"/>
      <c r="D1" s="257"/>
      <c r="E1" s="257"/>
      <c r="F1" s="257"/>
      <c r="G1" s="257"/>
      <c r="K1" s="19"/>
    </row>
    <row r="2" spans="1:15" s="36" customFormat="1" ht="24.75" customHeight="1" x14ac:dyDescent="0.25">
      <c r="A2" s="44"/>
      <c r="B2" s="302" t="s">
        <v>47</v>
      </c>
      <c r="C2" s="302"/>
      <c r="D2" s="303"/>
      <c r="E2" s="42"/>
      <c r="F2" s="302" t="s">
        <v>48</v>
      </c>
      <c r="G2" s="303"/>
      <c r="I2" s="258" t="s">
        <v>50</v>
      </c>
      <c r="J2" s="258"/>
      <c r="K2" s="258"/>
      <c r="L2" s="258" t="s">
        <v>54</v>
      </c>
      <c r="M2" s="258"/>
    </row>
    <row r="3" spans="1:15" s="27" customFormat="1" ht="40.5" x14ac:dyDescent="0.3">
      <c r="A3" s="43" t="s">
        <v>45</v>
      </c>
      <c r="B3" s="65" t="s">
        <v>46</v>
      </c>
      <c r="C3" s="66" t="s">
        <v>15</v>
      </c>
      <c r="D3" s="67" t="s">
        <v>113</v>
      </c>
      <c r="E3" s="40" t="s">
        <v>45</v>
      </c>
      <c r="F3" s="65" t="s">
        <v>46</v>
      </c>
      <c r="G3" s="67" t="s">
        <v>114</v>
      </c>
      <c r="I3" s="124" t="s">
        <v>49</v>
      </c>
      <c r="J3" s="124" t="s">
        <v>60</v>
      </c>
      <c r="K3" s="124" t="s">
        <v>61</v>
      </c>
      <c r="L3" s="125" t="s">
        <v>52</v>
      </c>
      <c r="M3" s="124" t="s">
        <v>53</v>
      </c>
      <c r="O3" s="124"/>
    </row>
    <row r="4" spans="1:15" ht="15" customHeight="1" x14ac:dyDescent="0.3">
      <c r="A4" s="37">
        <v>37.5</v>
      </c>
      <c r="B4" s="71">
        <f>PARAMETROS!B5</f>
        <v>1681.8991875000002</v>
      </c>
      <c r="C4" s="72"/>
      <c r="D4" s="71"/>
      <c r="E4" s="37">
        <v>37.5</v>
      </c>
      <c r="F4" s="71">
        <f>PARAMETROS!C5</f>
        <v>2186.4684916666665</v>
      </c>
      <c r="G4" s="71">
        <f>IF(F4&gt;$K$4,$K$4*$K$18%,F4*$K$18%)</f>
        <v>725.47024553499989</v>
      </c>
      <c r="I4" s="259">
        <v>1</v>
      </c>
      <c r="J4" s="271">
        <v>1847.4</v>
      </c>
      <c r="K4" s="272">
        <v>4720.5</v>
      </c>
      <c r="L4" s="273">
        <v>1323</v>
      </c>
      <c r="M4" s="272">
        <v>4720.5</v>
      </c>
      <c r="N4" s="8"/>
    </row>
    <row r="5" spans="1:15" ht="15" customHeight="1" x14ac:dyDescent="0.3">
      <c r="A5" s="38">
        <v>36</v>
      </c>
      <c r="B5" s="73">
        <f>PRODUCT(B$4,A5)/A$4</f>
        <v>1614.6232199999999</v>
      </c>
      <c r="C5" s="74">
        <f t="shared" ref="C5:C40" si="0">(A5/$A$4*7.5*5)/7*30*$C$47</f>
        <v>1717.2000000000003</v>
      </c>
      <c r="D5" s="73">
        <f>IF(B5&lt;C5,C5*$K$18%,B5*$K$18%)</f>
        <v>569.76696000000004</v>
      </c>
      <c r="E5" s="38">
        <v>36</v>
      </c>
      <c r="F5" s="73">
        <f>PRODUCT(F$4,E5)/E$4</f>
        <v>2099.0097519999999</v>
      </c>
      <c r="G5" s="73">
        <f t="shared" ref="G5:G40" si="1">IF(F5&gt;$K$4,$K$4*$K$18%,F5*$K$18%)</f>
        <v>696.45143571359995</v>
      </c>
      <c r="I5" s="259"/>
      <c r="J5" s="271"/>
      <c r="K5" s="272"/>
      <c r="L5" s="273"/>
      <c r="M5" s="272"/>
      <c r="N5" s="8"/>
    </row>
    <row r="6" spans="1:15" ht="15" customHeight="1" x14ac:dyDescent="0.3">
      <c r="A6" s="38">
        <v>35</v>
      </c>
      <c r="B6" s="73">
        <f t="shared" ref="B6:B40" si="2">PRODUCT(B$4,A6)/A$4</f>
        <v>1569.772575</v>
      </c>
      <c r="C6" s="74">
        <f t="shared" si="0"/>
        <v>1669.5000000000002</v>
      </c>
      <c r="D6" s="73">
        <f t="shared" ref="D6:D40" si="3">IF(B6&lt;C6,C6*$K$18%,B6*$K$18%)</f>
        <v>553.94010000000003</v>
      </c>
      <c r="E6" s="38">
        <v>35</v>
      </c>
      <c r="F6" s="73">
        <f t="shared" ref="F6:F40" si="4">PRODUCT(F$4,E6)/E$4</f>
        <v>2040.7039255555555</v>
      </c>
      <c r="G6" s="73">
        <f t="shared" si="1"/>
        <v>677.10556249933325</v>
      </c>
      <c r="I6" s="35"/>
      <c r="J6" s="8"/>
      <c r="K6" s="8"/>
      <c r="L6" s="115"/>
      <c r="M6" s="8"/>
      <c r="N6" s="8"/>
    </row>
    <row r="7" spans="1:15" ht="15" customHeight="1" thickBot="1" x14ac:dyDescent="0.35">
      <c r="A7" s="38">
        <v>34</v>
      </c>
      <c r="B7" s="73">
        <f t="shared" si="2"/>
        <v>1524.9219300000002</v>
      </c>
      <c r="C7" s="74">
        <f t="shared" si="0"/>
        <v>1621.8</v>
      </c>
      <c r="D7" s="73">
        <f t="shared" si="3"/>
        <v>538.11323999999991</v>
      </c>
      <c r="E7" s="38">
        <v>34</v>
      </c>
      <c r="F7" s="73">
        <f t="shared" si="4"/>
        <v>1982.3980991111109</v>
      </c>
      <c r="G7" s="73">
        <f t="shared" si="1"/>
        <v>657.75968928506654</v>
      </c>
      <c r="I7" s="35"/>
      <c r="J7" s="19"/>
      <c r="K7" s="8"/>
      <c r="L7" s="115"/>
      <c r="M7" s="8"/>
      <c r="N7" s="8"/>
    </row>
    <row r="8" spans="1:15" ht="15" customHeight="1" x14ac:dyDescent="0.3">
      <c r="A8" s="38">
        <v>33</v>
      </c>
      <c r="B8" s="73">
        <f t="shared" si="2"/>
        <v>1480.0712850000002</v>
      </c>
      <c r="C8" s="74">
        <f t="shared" si="0"/>
        <v>1574.1000000000004</v>
      </c>
      <c r="D8" s="73">
        <f t="shared" si="3"/>
        <v>522.28638000000012</v>
      </c>
      <c r="E8" s="38">
        <v>33</v>
      </c>
      <c r="F8" s="73">
        <f t="shared" si="4"/>
        <v>1924.0922726666663</v>
      </c>
      <c r="G8" s="73">
        <f t="shared" si="1"/>
        <v>638.41381607079984</v>
      </c>
      <c r="I8" s="234" t="s">
        <v>87</v>
      </c>
      <c r="J8" s="234"/>
      <c r="K8" s="235"/>
      <c r="L8" s="238">
        <v>0</v>
      </c>
      <c r="M8" s="8"/>
      <c r="N8" s="8"/>
    </row>
    <row r="9" spans="1:15" ht="15" customHeight="1" thickBot="1" x14ac:dyDescent="0.35">
      <c r="A9" s="38">
        <v>32</v>
      </c>
      <c r="B9" s="73">
        <f t="shared" si="2"/>
        <v>1435.2206400000002</v>
      </c>
      <c r="C9" s="74">
        <f t="shared" si="0"/>
        <v>1526.4</v>
      </c>
      <c r="D9" s="73">
        <f t="shared" si="3"/>
        <v>506.45952</v>
      </c>
      <c r="E9" s="38">
        <v>32</v>
      </c>
      <c r="F9" s="73">
        <f t="shared" si="4"/>
        <v>1865.7864462222221</v>
      </c>
      <c r="G9" s="73">
        <f t="shared" si="1"/>
        <v>619.06794285653325</v>
      </c>
      <c r="I9" s="234"/>
      <c r="J9" s="234"/>
      <c r="K9" s="235"/>
      <c r="L9" s="239"/>
      <c r="M9" s="8"/>
      <c r="N9" s="8"/>
    </row>
    <row r="10" spans="1:15" ht="15" customHeight="1" thickBot="1" x14ac:dyDescent="0.35">
      <c r="A10" s="38">
        <v>31</v>
      </c>
      <c r="B10" s="73">
        <f t="shared" si="2"/>
        <v>1390.3699950000002</v>
      </c>
      <c r="C10" s="74">
        <f t="shared" si="0"/>
        <v>1478.7</v>
      </c>
      <c r="D10" s="73">
        <f t="shared" si="3"/>
        <v>490.63265999999999</v>
      </c>
      <c r="E10" s="38">
        <v>31</v>
      </c>
      <c r="F10" s="73">
        <f t="shared" si="4"/>
        <v>1807.4806197777777</v>
      </c>
      <c r="G10" s="73">
        <f t="shared" si="1"/>
        <v>599.72206964226666</v>
      </c>
      <c r="I10" s="120"/>
      <c r="J10" s="121"/>
      <c r="K10" s="122"/>
      <c r="L10" s="123"/>
      <c r="M10" s="8"/>
      <c r="N10" s="8"/>
    </row>
    <row r="11" spans="1:15" ht="15" customHeight="1" x14ac:dyDescent="0.3">
      <c r="A11" s="38">
        <v>30</v>
      </c>
      <c r="B11" s="73">
        <f t="shared" si="2"/>
        <v>1345.5193500000003</v>
      </c>
      <c r="C11" s="74">
        <f t="shared" si="0"/>
        <v>1431</v>
      </c>
      <c r="D11" s="73">
        <f t="shared" si="3"/>
        <v>474.80579999999998</v>
      </c>
      <c r="E11" s="38">
        <v>30</v>
      </c>
      <c r="F11" s="73">
        <f t="shared" si="4"/>
        <v>1749.1747933333331</v>
      </c>
      <c r="G11" s="73">
        <f t="shared" si="1"/>
        <v>580.37619642799996</v>
      </c>
      <c r="I11" s="240" t="s">
        <v>62</v>
      </c>
      <c r="J11" s="241"/>
      <c r="K11" s="241"/>
      <c r="L11" s="242"/>
      <c r="M11" s="8"/>
      <c r="N11" s="8"/>
    </row>
    <row r="12" spans="1:15" ht="15" customHeight="1" thickBot="1" x14ac:dyDescent="0.35">
      <c r="A12" s="38">
        <v>29</v>
      </c>
      <c r="B12" s="73">
        <f t="shared" si="2"/>
        <v>1300.6687050000003</v>
      </c>
      <c r="C12" s="74">
        <f t="shared" si="0"/>
        <v>1383.3000000000002</v>
      </c>
      <c r="D12" s="73">
        <f t="shared" si="3"/>
        <v>458.97894000000002</v>
      </c>
      <c r="E12" s="38">
        <v>29</v>
      </c>
      <c r="F12" s="73">
        <f t="shared" si="4"/>
        <v>1690.8689668888887</v>
      </c>
      <c r="G12" s="73">
        <f t="shared" si="1"/>
        <v>561.03032321373325</v>
      </c>
      <c r="I12" s="243"/>
      <c r="J12" s="244"/>
      <c r="K12" s="244"/>
      <c r="L12" s="245"/>
      <c r="M12" s="8"/>
      <c r="N12" s="8"/>
    </row>
    <row r="13" spans="1:15" ht="15" customHeight="1" thickBot="1" x14ac:dyDescent="0.35">
      <c r="A13" s="38">
        <v>28</v>
      </c>
      <c r="B13" s="73">
        <f t="shared" si="2"/>
        <v>1255.8180600000003</v>
      </c>
      <c r="C13" s="74">
        <f t="shared" si="0"/>
        <v>1335.6000000000004</v>
      </c>
      <c r="D13" s="73">
        <f t="shared" si="3"/>
        <v>443.15208000000013</v>
      </c>
      <c r="E13" s="38">
        <v>28</v>
      </c>
      <c r="F13" s="73">
        <f t="shared" si="4"/>
        <v>1632.5631404444443</v>
      </c>
      <c r="G13" s="73">
        <f t="shared" si="1"/>
        <v>541.68444999946655</v>
      </c>
      <c r="I13" s="117"/>
      <c r="J13" s="135" t="s">
        <v>55</v>
      </c>
      <c r="K13" s="133" t="s">
        <v>56</v>
      </c>
      <c r="L13" s="142" t="s">
        <v>57</v>
      </c>
      <c r="M13" s="8"/>
      <c r="N13" s="8"/>
    </row>
    <row r="14" spans="1:15" ht="15" customHeight="1" x14ac:dyDescent="0.3">
      <c r="A14" s="38">
        <v>27</v>
      </c>
      <c r="B14" s="73">
        <f t="shared" si="2"/>
        <v>1210.9674150000001</v>
      </c>
      <c r="C14" s="74">
        <f t="shared" si="0"/>
        <v>1287.9000000000001</v>
      </c>
      <c r="D14" s="73">
        <f t="shared" si="3"/>
        <v>427.32522</v>
      </c>
      <c r="E14" s="38">
        <v>27</v>
      </c>
      <c r="F14" s="73">
        <f t="shared" si="4"/>
        <v>1574.257314</v>
      </c>
      <c r="G14" s="73">
        <f t="shared" si="1"/>
        <v>522.33857678519996</v>
      </c>
      <c r="I14" s="268" t="s">
        <v>58</v>
      </c>
      <c r="J14" s="246">
        <f>IF(L8&gt;=J4,L8,J4)</f>
        <v>1847.4</v>
      </c>
      <c r="K14" s="248">
        <v>24.18</v>
      </c>
      <c r="L14" s="253">
        <f>J14*K14%</f>
        <v>446.70132000000001</v>
      </c>
      <c r="M14" s="8"/>
      <c r="N14" s="8"/>
    </row>
    <row r="15" spans="1:15" ht="15" customHeight="1" thickBot="1" x14ac:dyDescent="0.35">
      <c r="A15" s="38">
        <v>26</v>
      </c>
      <c r="B15" s="73">
        <f t="shared" si="2"/>
        <v>1166.1167700000001</v>
      </c>
      <c r="C15" s="74">
        <f t="shared" si="0"/>
        <v>1240.2</v>
      </c>
      <c r="D15" s="73">
        <f t="shared" si="3"/>
        <v>411.49835999999999</v>
      </c>
      <c r="E15" s="38">
        <v>26</v>
      </c>
      <c r="F15" s="73">
        <f t="shared" si="4"/>
        <v>1515.9514875555556</v>
      </c>
      <c r="G15" s="73">
        <f t="shared" si="1"/>
        <v>502.99270357093332</v>
      </c>
      <c r="I15" s="269"/>
      <c r="J15" s="247"/>
      <c r="K15" s="249"/>
      <c r="L15" s="254"/>
      <c r="M15" s="8"/>
      <c r="N15" s="8"/>
    </row>
    <row r="16" spans="1:15" ht="15" customHeight="1" x14ac:dyDescent="0.3">
      <c r="A16" s="38">
        <v>25</v>
      </c>
      <c r="B16" s="73">
        <f t="shared" si="2"/>
        <v>1121.2661250000001</v>
      </c>
      <c r="C16" s="74">
        <f t="shared" si="0"/>
        <v>1192.5000000000002</v>
      </c>
      <c r="D16" s="73">
        <f t="shared" si="3"/>
        <v>395.67150000000004</v>
      </c>
      <c r="E16" s="38">
        <v>25</v>
      </c>
      <c r="F16" s="73">
        <f t="shared" si="4"/>
        <v>1457.6456611111109</v>
      </c>
      <c r="G16" s="73">
        <f t="shared" si="1"/>
        <v>483.64683035666661</v>
      </c>
      <c r="I16" s="251" t="s">
        <v>59</v>
      </c>
      <c r="J16" s="246">
        <f>IF(L8&gt;=L4,L8,L4)</f>
        <v>1323</v>
      </c>
      <c r="K16" s="248">
        <v>9</v>
      </c>
      <c r="L16" s="232">
        <f>J16*K16%</f>
        <v>119.07</v>
      </c>
      <c r="M16" s="8"/>
      <c r="N16" s="8"/>
    </row>
    <row r="17" spans="1:14" ht="15" customHeight="1" thickBot="1" x14ac:dyDescent="0.35">
      <c r="A17" s="38">
        <v>24</v>
      </c>
      <c r="B17" s="73">
        <f t="shared" si="2"/>
        <v>1076.4154800000001</v>
      </c>
      <c r="C17" s="74">
        <f t="shared" si="0"/>
        <v>1144.8</v>
      </c>
      <c r="D17" s="73">
        <f t="shared" si="3"/>
        <v>379.84463999999997</v>
      </c>
      <c r="E17" s="38">
        <v>24</v>
      </c>
      <c r="F17" s="73">
        <f t="shared" si="4"/>
        <v>1399.3398346666665</v>
      </c>
      <c r="G17" s="73">
        <f t="shared" si="1"/>
        <v>464.30095714239997</v>
      </c>
      <c r="I17" s="252"/>
      <c r="J17" s="247"/>
      <c r="K17" s="249">
        <v>0.2</v>
      </c>
      <c r="L17" s="250"/>
      <c r="M17" s="8"/>
      <c r="N17" s="8"/>
    </row>
    <row r="18" spans="1:14" ht="16.5" customHeight="1" thickBot="1" x14ac:dyDescent="0.35">
      <c r="A18" s="38">
        <v>23</v>
      </c>
      <c r="B18" s="73">
        <f t="shared" si="2"/>
        <v>1031.5648350000001</v>
      </c>
      <c r="C18" s="74">
        <f t="shared" si="0"/>
        <v>1097.1000000000001</v>
      </c>
      <c r="D18" s="73">
        <f t="shared" si="3"/>
        <v>364.01778000000002</v>
      </c>
      <c r="E18" s="38">
        <v>23</v>
      </c>
      <c r="F18" s="73">
        <f t="shared" si="4"/>
        <v>1341.0340082222222</v>
      </c>
      <c r="G18" s="73">
        <f t="shared" si="1"/>
        <v>444.95508392813326</v>
      </c>
      <c r="I18" s="266" t="s">
        <v>63</v>
      </c>
      <c r="J18" s="267"/>
      <c r="K18" s="134">
        <f>(K14+K16)</f>
        <v>33.18</v>
      </c>
      <c r="L18" s="130">
        <f>SUM(L14:L17)</f>
        <v>565.77132000000006</v>
      </c>
      <c r="M18" s="8"/>
      <c r="N18" s="8"/>
    </row>
    <row r="19" spans="1:14" ht="15" customHeight="1" x14ac:dyDescent="0.3">
      <c r="A19" s="38">
        <v>22</v>
      </c>
      <c r="B19" s="73">
        <f t="shared" si="2"/>
        <v>986.71419000000014</v>
      </c>
      <c r="C19" s="74">
        <f t="shared" si="0"/>
        <v>1049.4000000000001</v>
      </c>
      <c r="D19" s="73">
        <f t="shared" si="3"/>
        <v>348.19092000000001</v>
      </c>
      <c r="E19" s="38">
        <v>22</v>
      </c>
      <c r="F19" s="73">
        <f t="shared" si="4"/>
        <v>1282.7281817777778</v>
      </c>
      <c r="G19" s="73">
        <f t="shared" si="1"/>
        <v>425.60921071386662</v>
      </c>
      <c r="I19" s="126"/>
      <c r="J19" s="127"/>
      <c r="K19" s="128"/>
      <c r="L19" s="129"/>
      <c r="M19" s="8"/>
      <c r="N19" s="8"/>
    </row>
    <row r="20" spans="1:14" ht="15" customHeight="1" x14ac:dyDescent="0.3">
      <c r="A20" s="38">
        <v>21</v>
      </c>
      <c r="B20" s="73">
        <f t="shared" si="2"/>
        <v>941.86354500000016</v>
      </c>
      <c r="C20" s="74">
        <f t="shared" si="0"/>
        <v>1001.7</v>
      </c>
      <c r="D20" s="73">
        <f t="shared" si="3"/>
        <v>332.36405999999999</v>
      </c>
      <c r="E20" s="38">
        <v>21</v>
      </c>
      <c r="F20" s="73">
        <f t="shared" si="4"/>
        <v>1224.4223553333331</v>
      </c>
      <c r="G20" s="73">
        <f t="shared" si="1"/>
        <v>406.26333749959991</v>
      </c>
      <c r="I20" s="270" t="s">
        <v>77</v>
      </c>
      <c r="J20" s="270"/>
      <c r="K20" s="270"/>
      <c r="L20" s="270"/>
      <c r="M20" s="270"/>
      <c r="N20" s="270"/>
    </row>
    <row r="21" spans="1:14" ht="15" customHeight="1" x14ac:dyDescent="0.3">
      <c r="A21" s="38">
        <v>20</v>
      </c>
      <c r="B21" s="73">
        <f t="shared" si="2"/>
        <v>897.01289999999995</v>
      </c>
      <c r="C21" s="74">
        <f t="shared" si="0"/>
        <v>954.00000000000011</v>
      </c>
      <c r="D21" s="73">
        <f t="shared" si="3"/>
        <v>316.53720000000004</v>
      </c>
      <c r="E21" s="38">
        <v>20</v>
      </c>
      <c r="F21" s="73">
        <f t="shared" si="4"/>
        <v>1166.1165288888888</v>
      </c>
      <c r="G21" s="73">
        <f t="shared" si="1"/>
        <v>386.91746428533327</v>
      </c>
      <c r="I21" s="270"/>
      <c r="J21" s="270"/>
      <c r="K21" s="270"/>
      <c r="L21" s="270"/>
      <c r="M21" s="270"/>
      <c r="N21" s="270"/>
    </row>
    <row r="22" spans="1:14" ht="15" customHeight="1" thickBot="1" x14ac:dyDescent="0.35">
      <c r="A22" s="38">
        <v>19</v>
      </c>
      <c r="B22" s="73">
        <f t="shared" si="2"/>
        <v>852.16225500000007</v>
      </c>
      <c r="C22" s="74">
        <f t="shared" si="0"/>
        <v>906.30000000000007</v>
      </c>
      <c r="D22" s="73">
        <f t="shared" si="3"/>
        <v>300.71034000000003</v>
      </c>
      <c r="E22" s="38">
        <v>19</v>
      </c>
      <c r="F22" s="73">
        <f t="shared" si="4"/>
        <v>1107.8107024444444</v>
      </c>
      <c r="G22" s="73">
        <f t="shared" si="1"/>
        <v>367.57159107106662</v>
      </c>
      <c r="I22" s="35"/>
      <c r="J22" s="19"/>
      <c r="K22" s="8"/>
      <c r="L22" s="115"/>
      <c r="M22" s="8"/>
      <c r="N22" s="8"/>
    </row>
    <row r="23" spans="1:14" ht="15" customHeight="1" x14ac:dyDescent="0.3">
      <c r="A23" s="38">
        <v>18</v>
      </c>
      <c r="B23" s="73">
        <f t="shared" si="2"/>
        <v>807.31160999999997</v>
      </c>
      <c r="C23" s="74">
        <f t="shared" si="0"/>
        <v>858.60000000000014</v>
      </c>
      <c r="D23" s="73">
        <f t="shared" si="3"/>
        <v>284.88348000000002</v>
      </c>
      <c r="E23" s="38">
        <v>18</v>
      </c>
      <c r="F23" s="73">
        <f t="shared" si="4"/>
        <v>1049.504876</v>
      </c>
      <c r="G23" s="73">
        <f t="shared" si="1"/>
        <v>348.22571785679997</v>
      </c>
      <c r="I23" s="234" t="s">
        <v>64</v>
      </c>
      <c r="J23" s="234"/>
      <c r="K23" s="235"/>
      <c r="L23" s="236">
        <v>0</v>
      </c>
      <c r="M23" s="8"/>
      <c r="N23" s="8"/>
    </row>
    <row r="24" spans="1:14" ht="15" customHeight="1" thickBot="1" x14ac:dyDescent="0.35">
      <c r="A24" s="38">
        <v>17</v>
      </c>
      <c r="B24" s="73">
        <f t="shared" si="2"/>
        <v>762.4609650000001</v>
      </c>
      <c r="C24" s="74">
        <f t="shared" si="0"/>
        <v>810.9</v>
      </c>
      <c r="D24" s="73">
        <f t="shared" si="3"/>
        <v>269.05661999999995</v>
      </c>
      <c r="E24" s="38">
        <v>17</v>
      </c>
      <c r="F24" s="73">
        <f t="shared" si="4"/>
        <v>991.19904955555546</v>
      </c>
      <c r="G24" s="73">
        <f t="shared" si="1"/>
        <v>328.87984464253327</v>
      </c>
      <c r="I24" s="234"/>
      <c r="J24" s="234"/>
      <c r="K24" s="235"/>
      <c r="L24" s="237"/>
      <c r="M24" s="8"/>
      <c r="N24" s="8"/>
    </row>
    <row r="25" spans="1:14" ht="15" customHeight="1" thickBot="1" x14ac:dyDescent="0.35">
      <c r="A25" s="38">
        <v>16</v>
      </c>
      <c r="B25" s="73">
        <f t="shared" si="2"/>
        <v>717.61032000000012</v>
      </c>
      <c r="C25" s="74">
        <f t="shared" si="0"/>
        <v>763.2</v>
      </c>
      <c r="D25" s="73">
        <f t="shared" si="3"/>
        <v>253.22976</v>
      </c>
      <c r="E25" s="38">
        <v>16</v>
      </c>
      <c r="F25" s="73">
        <f t="shared" si="4"/>
        <v>932.89322311111107</v>
      </c>
      <c r="G25" s="73">
        <f t="shared" si="1"/>
        <v>309.53397142826663</v>
      </c>
      <c r="I25" s="35"/>
      <c r="J25" s="19"/>
      <c r="K25" s="8"/>
      <c r="L25" s="115"/>
      <c r="M25" s="8"/>
      <c r="N25" s="8"/>
    </row>
    <row r="26" spans="1:14" ht="15" customHeight="1" x14ac:dyDescent="0.3">
      <c r="A26" s="38">
        <v>15</v>
      </c>
      <c r="B26" s="73">
        <f t="shared" si="2"/>
        <v>672.75967500000013</v>
      </c>
      <c r="C26" s="74">
        <f t="shared" si="0"/>
        <v>715.5</v>
      </c>
      <c r="D26" s="73">
        <f t="shared" si="3"/>
        <v>237.40289999999999</v>
      </c>
      <c r="E26" s="38">
        <v>15</v>
      </c>
      <c r="F26" s="73">
        <f t="shared" si="4"/>
        <v>874.58739666666656</v>
      </c>
      <c r="G26" s="73">
        <f t="shared" si="1"/>
        <v>290.18809821399998</v>
      </c>
      <c r="I26" s="234" t="s">
        <v>68</v>
      </c>
      <c r="J26" s="234"/>
      <c r="K26" s="235"/>
      <c r="L26" s="238">
        <v>0</v>
      </c>
      <c r="M26" s="8"/>
      <c r="N26" s="8"/>
    </row>
    <row r="27" spans="1:14" ht="15" customHeight="1" thickBot="1" x14ac:dyDescent="0.35">
      <c r="A27" s="38">
        <v>14</v>
      </c>
      <c r="B27" s="73">
        <f t="shared" si="2"/>
        <v>627.90903000000014</v>
      </c>
      <c r="C27" s="74">
        <f t="shared" si="0"/>
        <v>667.80000000000018</v>
      </c>
      <c r="D27" s="73">
        <f t="shared" si="3"/>
        <v>221.57604000000006</v>
      </c>
      <c r="E27" s="38">
        <v>14</v>
      </c>
      <c r="F27" s="73">
        <f t="shared" si="4"/>
        <v>816.28157022222217</v>
      </c>
      <c r="G27" s="73">
        <f t="shared" si="1"/>
        <v>270.84222499973328</v>
      </c>
      <c r="I27" s="234"/>
      <c r="J27" s="234"/>
      <c r="K27" s="235"/>
      <c r="L27" s="239"/>
      <c r="M27" s="8"/>
      <c r="N27" s="8"/>
    </row>
    <row r="28" spans="1:14" ht="15" customHeight="1" thickBot="1" x14ac:dyDescent="0.35">
      <c r="A28" s="38">
        <v>13</v>
      </c>
      <c r="B28" s="73">
        <f t="shared" si="2"/>
        <v>583.05838500000004</v>
      </c>
      <c r="C28" s="74">
        <f t="shared" si="0"/>
        <v>620.1</v>
      </c>
      <c r="D28" s="73">
        <f t="shared" si="3"/>
        <v>205.74918</v>
      </c>
      <c r="E28" s="38">
        <v>13</v>
      </c>
      <c r="F28" s="73">
        <f t="shared" si="4"/>
        <v>757.97574377777778</v>
      </c>
      <c r="G28" s="73">
        <f t="shared" si="1"/>
        <v>251.49635178546666</v>
      </c>
      <c r="I28" s="35"/>
      <c r="J28" s="19"/>
      <c r="K28" s="8"/>
      <c r="L28" s="115"/>
      <c r="M28" s="8"/>
      <c r="N28" s="8"/>
    </row>
    <row r="29" spans="1:14" ht="15" customHeight="1" x14ac:dyDescent="0.3">
      <c r="A29" s="38">
        <v>12</v>
      </c>
      <c r="B29" s="73">
        <f t="shared" si="2"/>
        <v>538.20774000000006</v>
      </c>
      <c r="C29" s="74">
        <f t="shared" si="0"/>
        <v>572.4</v>
      </c>
      <c r="D29" s="73">
        <f t="shared" si="3"/>
        <v>189.92231999999998</v>
      </c>
      <c r="E29" s="38">
        <v>12</v>
      </c>
      <c r="F29" s="73">
        <f t="shared" si="4"/>
        <v>699.66991733333327</v>
      </c>
      <c r="G29" s="73">
        <f t="shared" si="1"/>
        <v>232.15047857119998</v>
      </c>
      <c r="I29" s="240" t="s">
        <v>65</v>
      </c>
      <c r="J29" s="241"/>
      <c r="K29" s="241"/>
      <c r="L29" s="242"/>
      <c r="M29" s="8"/>
      <c r="N29" s="8"/>
    </row>
    <row r="30" spans="1:14" ht="15" customHeight="1" thickBot="1" x14ac:dyDescent="0.35">
      <c r="A30" s="38">
        <v>11</v>
      </c>
      <c r="B30" s="73">
        <f t="shared" si="2"/>
        <v>493.35709500000007</v>
      </c>
      <c r="C30" s="74">
        <f t="shared" si="0"/>
        <v>524.70000000000005</v>
      </c>
      <c r="D30" s="73">
        <f t="shared" si="3"/>
        <v>174.09546</v>
      </c>
      <c r="E30" s="38">
        <v>11</v>
      </c>
      <c r="F30" s="73">
        <f t="shared" si="4"/>
        <v>641.36409088888888</v>
      </c>
      <c r="G30" s="73">
        <f t="shared" si="1"/>
        <v>212.80460535693331</v>
      </c>
      <c r="I30" s="243"/>
      <c r="J30" s="244"/>
      <c r="K30" s="244"/>
      <c r="L30" s="245"/>
      <c r="M30" s="8"/>
      <c r="N30" s="8"/>
    </row>
    <row r="31" spans="1:14" ht="15" customHeight="1" thickBot="1" x14ac:dyDescent="0.35">
      <c r="A31" s="38">
        <v>10</v>
      </c>
      <c r="B31" s="73">
        <f t="shared" si="2"/>
        <v>448.50644999999997</v>
      </c>
      <c r="C31" s="74">
        <f t="shared" si="0"/>
        <v>477.00000000000006</v>
      </c>
      <c r="D31" s="73">
        <f t="shared" si="3"/>
        <v>158.26860000000002</v>
      </c>
      <c r="E31" s="38">
        <v>10</v>
      </c>
      <c r="F31" s="73">
        <f t="shared" si="4"/>
        <v>583.05826444444438</v>
      </c>
      <c r="G31" s="73">
        <f t="shared" si="1"/>
        <v>193.45873214266663</v>
      </c>
      <c r="I31" s="137" t="s">
        <v>69</v>
      </c>
      <c r="J31" s="135" t="s">
        <v>55</v>
      </c>
      <c r="K31" s="133" t="s">
        <v>70</v>
      </c>
      <c r="L31" s="119" t="s">
        <v>57</v>
      </c>
      <c r="M31" s="8"/>
      <c r="N31" s="8"/>
    </row>
    <row r="32" spans="1:14" ht="15" customHeight="1" x14ac:dyDescent="0.3">
      <c r="A32" s="38">
        <v>9</v>
      </c>
      <c r="B32" s="73">
        <f t="shared" si="2"/>
        <v>403.65580499999999</v>
      </c>
      <c r="C32" s="74">
        <f t="shared" si="0"/>
        <v>429.30000000000007</v>
      </c>
      <c r="D32" s="73">
        <f t="shared" si="3"/>
        <v>142.44174000000001</v>
      </c>
      <c r="E32" s="38">
        <v>9</v>
      </c>
      <c r="F32" s="73">
        <f t="shared" si="4"/>
        <v>524.75243799999998</v>
      </c>
      <c r="G32" s="73">
        <f t="shared" si="1"/>
        <v>174.11285892839999</v>
      </c>
      <c r="I32" s="226">
        <f>((L23/37.5*7.5*5)/7)*30*$C$47</f>
        <v>0</v>
      </c>
      <c r="J32" s="228">
        <f>IF(L26&lt;I32,I32,L26)</f>
        <v>0</v>
      </c>
      <c r="K32" s="230">
        <v>33.18</v>
      </c>
      <c r="L32" s="232">
        <f>J32*K32%</f>
        <v>0</v>
      </c>
      <c r="M32" s="8"/>
      <c r="N32" s="8"/>
    </row>
    <row r="33" spans="1:14" ht="15" customHeight="1" thickBot="1" x14ac:dyDescent="0.35">
      <c r="A33" s="38">
        <v>8</v>
      </c>
      <c r="B33" s="73">
        <f t="shared" si="2"/>
        <v>358.80516000000006</v>
      </c>
      <c r="C33" s="74">
        <f t="shared" si="0"/>
        <v>381.6</v>
      </c>
      <c r="D33" s="73">
        <f t="shared" si="3"/>
        <v>126.61488</v>
      </c>
      <c r="E33" s="38">
        <v>8</v>
      </c>
      <c r="F33" s="73">
        <f t="shared" si="4"/>
        <v>466.44661155555553</v>
      </c>
      <c r="G33" s="73">
        <f t="shared" si="1"/>
        <v>154.76698571413331</v>
      </c>
      <c r="I33" s="227"/>
      <c r="J33" s="229"/>
      <c r="K33" s="231"/>
      <c r="L33" s="233"/>
      <c r="M33" s="8"/>
      <c r="N33" s="8"/>
    </row>
    <row r="34" spans="1:14" ht="15" customHeight="1" thickBot="1" x14ac:dyDescent="0.35">
      <c r="A34" s="38">
        <v>7</v>
      </c>
      <c r="B34" s="73">
        <f t="shared" si="2"/>
        <v>313.95451500000007</v>
      </c>
      <c r="C34" s="74">
        <f t="shared" si="0"/>
        <v>333.90000000000009</v>
      </c>
      <c r="D34" s="73">
        <f t="shared" si="3"/>
        <v>110.78802000000003</v>
      </c>
      <c r="E34" s="38">
        <v>7</v>
      </c>
      <c r="F34" s="73">
        <f t="shared" si="4"/>
        <v>408.14078511111109</v>
      </c>
      <c r="G34" s="73">
        <f t="shared" si="1"/>
        <v>135.42111249986664</v>
      </c>
      <c r="I34" s="221" t="s">
        <v>66</v>
      </c>
      <c r="J34" s="222"/>
      <c r="K34" s="223"/>
      <c r="L34" s="130">
        <f>SUM(L32)</f>
        <v>0</v>
      </c>
      <c r="M34" s="8"/>
      <c r="N34" s="8"/>
    </row>
    <row r="35" spans="1:14" ht="15" customHeight="1" x14ac:dyDescent="0.3">
      <c r="A35" s="38">
        <v>6</v>
      </c>
      <c r="B35" s="73">
        <f t="shared" si="2"/>
        <v>269.10387000000003</v>
      </c>
      <c r="C35" s="74">
        <f t="shared" si="0"/>
        <v>286.2</v>
      </c>
      <c r="D35" s="73">
        <f t="shared" si="3"/>
        <v>94.961159999999992</v>
      </c>
      <c r="E35" s="38">
        <v>6</v>
      </c>
      <c r="F35" s="73">
        <f t="shared" si="4"/>
        <v>349.83495866666664</v>
      </c>
      <c r="G35" s="73">
        <f t="shared" si="1"/>
        <v>116.07523928559999</v>
      </c>
      <c r="I35" s="35"/>
      <c r="J35" s="19"/>
      <c r="K35" s="8"/>
      <c r="L35" s="115"/>
      <c r="M35" s="8"/>
      <c r="N35" s="136"/>
    </row>
    <row r="36" spans="1:14" ht="15" customHeight="1" x14ac:dyDescent="0.3">
      <c r="A36" s="38">
        <v>5</v>
      </c>
      <c r="B36" s="73">
        <f t="shared" si="2"/>
        <v>224.25322499999999</v>
      </c>
      <c r="C36" s="74">
        <f t="shared" si="0"/>
        <v>238.50000000000003</v>
      </c>
      <c r="D36" s="73">
        <f t="shared" si="3"/>
        <v>79.13430000000001</v>
      </c>
      <c r="E36" s="38">
        <v>5</v>
      </c>
      <c r="F36" s="73">
        <f t="shared" si="4"/>
        <v>291.52913222222219</v>
      </c>
      <c r="G36" s="73">
        <f t="shared" si="1"/>
        <v>96.729366071333317</v>
      </c>
      <c r="I36" s="224" t="s">
        <v>67</v>
      </c>
      <c r="J36" s="224"/>
      <c r="K36" s="224"/>
      <c r="L36" s="224"/>
      <c r="M36" s="225" t="s">
        <v>101</v>
      </c>
      <c r="N36" s="136"/>
    </row>
    <row r="37" spans="1:14" ht="15" customHeight="1" x14ac:dyDescent="0.3">
      <c r="A37" s="38">
        <v>4</v>
      </c>
      <c r="B37" s="73">
        <f t="shared" si="2"/>
        <v>179.40258000000003</v>
      </c>
      <c r="C37" s="74">
        <f t="shared" si="0"/>
        <v>190.8</v>
      </c>
      <c r="D37" s="73">
        <f t="shared" si="3"/>
        <v>63.30744</v>
      </c>
      <c r="E37" s="38">
        <v>4</v>
      </c>
      <c r="F37" s="73">
        <f t="shared" si="4"/>
        <v>233.22330577777777</v>
      </c>
      <c r="G37" s="73">
        <f t="shared" si="1"/>
        <v>77.383492857066656</v>
      </c>
      <c r="I37" s="224"/>
      <c r="J37" s="224"/>
      <c r="K37" s="224"/>
      <c r="L37" s="224"/>
      <c r="M37" s="225"/>
      <c r="N37" s="136"/>
    </row>
    <row r="38" spans="1:14" ht="15" customHeight="1" x14ac:dyDescent="0.3">
      <c r="A38" s="38">
        <v>3</v>
      </c>
      <c r="B38" s="73">
        <f t="shared" si="2"/>
        <v>134.55193500000001</v>
      </c>
      <c r="C38" s="74">
        <f t="shared" si="0"/>
        <v>143.1</v>
      </c>
      <c r="D38" s="73">
        <f t="shared" si="3"/>
        <v>47.480579999999996</v>
      </c>
      <c r="E38" s="38">
        <v>3</v>
      </c>
      <c r="F38" s="73">
        <f t="shared" si="4"/>
        <v>174.91747933333332</v>
      </c>
      <c r="G38" s="73">
        <f t="shared" si="1"/>
        <v>58.037619642799996</v>
      </c>
      <c r="I38" s="5"/>
    </row>
    <row r="39" spans="1:14" ht="15" customHeight="1" x14ac:dyDescent="0.3">
      <c r="A39" s="38">
        <v>2</v>
      </c>
      <c r="B39" s="73">
        <f t="shared" si="2"/>
        <v>89.701290000000014</v>
      </c>
      <c r="C39" s="74">
        <f t="shared" si="0"/>
        <v>95.4</v>
      </c>
      <c r="D39" s="73">
        <f t="shared" si="3"/>
        <v>31.65372</v>
      </c>
      <c r="E39" s="38">
        <v>2</v>
      </c>
      <c r="F39" s="73">
        <f t="shared" si="4"/>
        <v>116.61165288888888</v>
      </c>
      <c r="G39" s="73">
        <f t="shared" si="1"/>
        <v>38.691746428533328</v>
      </c>
      <c r="I39" s="5"/>
    </row>
    <row r="40" spans="1:14" ht="15" customHeight="1" x14ac:dyDescent="0.3">
      <c r="A40" s="39">
        <v>1</v>
      </c>
      <c r="B40" s="75">
        <f t="shared" si="2"/>
        <v>44.850645000000007</v>
      </c>
      <c r="C40" s="76">
        <f t="shared" si="0"/>
        <v>47.7</v>
      </c>
      <c r="D40" s="75">
        <f t="shared" si="3"/>
        <v>15.82686</v>
      </c>
      <c r="E40" s="39">
        <v>1</v>
      </c>
      <c r="F40" s="75">
        <f t="shared" si="4"/>
        <v>58.305826444444442</v>
      </c>
      <c r="G40" s="75">
        <f t="shared" si="1"/>
        <v>19.345873214266664</v>
      </c>
      <c r="I40" s="5"/>
    </row>
    <row r="42" spans="1:14" hidden="1" x14ac:dyDescent="0.3"/>
    <row r="43" spans="1:14" hidden="1" x14ac:dyDescent="0.3"/>
    <row r="44" spans="1:14" hidden="1" x14ac:dyDescent="0.3"/>
    <row r="45" spans="1:14" hidden="1" x14ac:dyDescent="0.3"/>
    <row r="46" spans="1:14" ht="14.5" hidden="1" thickBot="1" x14ac:dyDescent="0.35">
      <c r="C46" s="211" t="s">
        <v>93</v>
      </c>
    </row>
    <row r="47" spans="1:14" s="21" customFormat="1" ht="31.5" hidden="1" customHeight="1" thickBot="1" x14ac:dyDescent="0.3">
      <c r="A47" s="190"/>
      <c r="B47" s="206" t="s">
        <v>14</v>
      </c>
      <c r="C47" s="207">
        <v>11.13</v>
      </c>
      <c r="D47" s="191"/>
      <c r="E47" s="192"/>
      <c r="F47" s="191"/>
      <c r="G47" s="191"/>
      <c r="I47" s="193"/>
    </row>
    <row r="48" spans="1:14" hidden="1" x14ac:dyDescent="0.3"/>
    <row r="49" hidden="1" x14ac:dyDescent="0.3"/>
    <row r="50" hidden="1" x14ac:dyDescent="0.3"/>
  </sheetData>
  <sheetProtection algorithmName="SHA-512" hashValue="wyxu9me4fiHvGPwBgm2AgKYUjd+Ui3T/xPXr2M/nDTY9VYUOoI7VNefcNCNM+97KfOVex01YN6CI8pp/o5OZRQ==" saltValue="31Tvlu3QslpJMxxzMSb57Q==" spinCount="100000" sheet="1" objects="1" scenarios="1"/>
  <protectedRanges>
    <protectedRange sqref="M36" name="CALCULO RC"/>
    <protectedRange sqref="L23" name="DED_1"/>
    <protectedRange sqref="L8" name="RET TC_2"/>
    <protectedRange sqref="L26" name="RET TP_1"/>
  </protectedRanges>
  <mergeCells count="35">
    <mergeCell ref="I34:K34"/>
    <mergeCell ref="I36:L37"/>
    <mergeCell ref="M36:M37"/>
    <mergeCell ref="I29:L30"/>
    <mergeCell ref="I32:I33"/>
    <mergeCell ref="J32:J33"/>
    <mergeCell ref="K32:K33"/>
    <mergeCell ref="L32:L33"/>
    <mergeCell ref="I20:N21"/>
    <mergeCell ref="I23:K24"/>
    <mergeCell ref="L23:L24"/>
    <mergeCell ref="I26:K27"/>
    <mergeCell ref="L26:L27"/>
    <mergeCell ref="I16:I17"/>
    <mergeCell ref="J16:J17"/>
    <mergeCell ref="K16:K17"/>
    <mergeCell ref="L16:L17"/>
    <mergeCell ref="I18:J18"/>
    <mergeCell ref="I8:K9"/>
    <mergeCell ref="L8:L9"/>
    <mergeCell ref="I11:L12"/>
    <mergeCell ref="I14:I15"/>
    <mergeCell ref="J14:J15"/>
    <mergeCell ref="K14:K15"/>
    <mergeCell ref="L14:L15"/>
    <mergeCell ref="I4:I5"/>
    <mergeCell ref="J4:J5"/>
    <mergeCell ref="K4:K5"/>
    <mergeCell ref="L4:L5"/>
    <mergeCell ref="M4:M5"/>
    <mergeCell ref="A1:G1"/>
    <mergeCell ref="B2:D2"/>
    <mergeCell ref="F2:G2"/>
    <mergeCell ref="I2:K2"/>
    <mergeCell ref="L2:M2"/>
  </mergeCells>
  <hyperlinks>
    <hyperlink ref="M36:M37" r:id="rId1" display="CALCULO RC" xr:uid="{00000000-0004-0000-0300-000000000000}"/>
  </hyperlinks>
  <pageMargins left="0.94488188976377963" right="0.94488188976377963" top="0" bottom="0.39370078740157483" header="0" footer="0"/>
  <pageSetup paperSize="9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6"/>
  <sheetViews>
    <sheetView topLeftCell="A40" zoomScaleNormal="100" workbookViewId="0">
      <selection activeCell="A41" sqref="A41:XFD46"/>
    </sheetView>
  </sheetViews>
  <sheetFormatPr baseColWidth="10" defaultColWidth="11.54296875" defaultRowHeight="14" x14ac:dyDescent="0.3"/>
  <cols>
    <col min="1" max="1" width="18.453125" style="4" customWidth="1"/>
    <col min="2" max="2" width="24.7265625" style="4" customWidth="1"/>
    <col min="3" max="3" width="8.984375E-2" style="6" hidden="1" customWidth="1"/>
    <col min="4" max="4" width="18.453125" style="4" customWidth="1"/>
    <col min="5" max="5" width="18.453125" style="5" customWidth="1"/>
    <col min="6" max="6" width="24.81640625" style="4" customWidth="1"/>
    <col min="7" max="7" width="18.453125" style="4" customWidth="1"/>
    <col min="8" max="8" width="11.54296875" style="5"/>
    <col min="9" max="9" width="17.81640625" style="7" customWidth="1"/>
    <col min="10" max="10" width="18.81640625" style="5" customWidth="1"/>
    <col min="11" max="11" width="19.453125" style="5" customWidth="1"/>
    <col min="12" max="12" width="16" style="5" customWidth="1"/>
    <col min="13" max="13" width="16.54296875" style="5" customWidth="1"/>
    <col min="14" max="14" width="13.1796875" style="5" bestFit="1" customWidth="1"/>
    <col min="15" max="16384" width="11.54296875" style="5"/>
  </cols>
  <sheetData>
    <row r="1" spans="1:14" s="8" customFormat="1" ht="65.25" customHeight="1" x14ac:dyDescent="0.3">
      <c r="A1" s="256" t="s">
        <v>109</v>
      </c>
      <c r="B1" s="257"/>
      <c r="C1" s="257"/>
      <c r="D1" s="257"/>
      <c r="E1" s="257"/>
      <c r="F1" s="257"/>
      <c r="G1" s="257"/>
      <c r="K1" s="19"/>
    </row>
    <row r="2" spans="1:14" s="36" customFormat="1" ht="24.75" customHeight="1" x14ac:dyDescent="0.25">
      <c r="A2" s="44"/>
      <c r="B2" s="302" t="s">
        <v>47</v>
      </c>
      <c r="C2" s="302"/>
      <c r="D2" s="303"/>
      <c r="E2" s="42"/>
      <c r="F2" s="302" t="s">
        <v>48</v>
      </c>
      <c r="G2" s="303"/>
      <c r="I2" s="258" t="s">
        <v>50</v>
      </c>
      <c r="J2" s="258"/>
      <c r="K2" s="258"/>
      <c r="L2" s="258" t="s">
        <v>54</v>
      </c>
      <c r="M2" s="258"/>
    </row>
    <row r="3" spans="1:14" s="27" customFormat="1" ht="40.5" x14ac:dyDescent="0.3">
      <c r="A3" s="43" t="s">
        <v>45</v>
      </c>
      <c r="B3" s="65" t="s">
        <v>46</v>
      </c>
      <c r="C3" s="66" t="s">
        <v>15</v>
      </c>
      <c r="D3" s="67" t="s">
        <v>113</v>
      </c>
      <c r="E3" s="40" t="s">
        <v>45</v>
      </c>
      <c r="F3" s="65" t="s">
        <v>46</v>
      </c>
      <c r="G3" s="67" t="s">
        <v>114</v>
      </c>
      <c r="I3" s="124" t="s">
        <v>49</v>
      </c>
      <c r="J3" s="124" t="s">
        <v>60</v>
      </c>
      <c r="K3" s="124" t="s">
        <v>61</v>
      </c>
      <c r="L3" s="125" t="s">
        <v>52</v>
      </c>
      <c r="M3" s="124" t="s">
        <v>53</v>
      </c>
    </row>
    <row r="4" spans="1:14" ht="15" customHeight="1" x14ac:dyDescent="0.3">
      <c r="A4" s="37">
        <v>37.5</v>
      </c>
      <c r="B4" s="71">
        <f>PARAMETROS!B6</f>
        <v>1582.9634625000001</v>
      </c>
      <c r="C4" s="72"/>
      <c r="D4" s="71"/>
      <c r="E4" s="37">
        <v>37.5</v>
      </c>
      <c r="F4" s="71">
        <f>PARAMETROS!C6</f>
        <v>2057.8525916666667</v>
      </c>
      <c r="G4" s="71">
        <f>IF(F4&gt;$K$4,$K$4*$K$18%,F4*$K$18%)</f>
        <v>682.79548991499996</v>
      </c>
      <c r="I4" s="259">
        <v>1</v>
      </c>
      <c r="J4" s="271">
        <v>1847.4</v>
      </c>
      <c r="K4" s="272">
        <v>4720.5</v>
      </c>
      <c r="L4" s="273">
        <v>1323</v>
      </c>
      <c r="M4" s="272">
        <v>4720.5</v>
      </c>
      <c r="N4" s="8"/>
    </row>
    <row r="5" spans="1:14" ht="15" customHeight="1" x14ac:dyDescent="0.3">
      <c r="A5" s="38">
        <v>36</v>
      </c>
      <c r="B5" s="73">
        <f>PRODUCT(B$4,A5)/A$4</f>
        <v>1519.6449240000002</v>
      </c>
      <c r="C5" s="74">
        <f t="shared" ref="C5:C40" si="0">(A5/$A$4*7.5*5)/7*30*$C$43</f>
        <v>1717.2000000000003</v>
      </c>
      <c r="D5" s="73">
        <f>IF(B5&lt;C5,C5*$K$18%,B5*$K$18%)</f>
        <v>569.76696000000004</v>
      </c>
      <c r="E5" s="38">
        <v>36</v>
      </c>
      <c r="F5" s="73">
        <f>PRODUCT(F$4,E5)/E$4</f>
        <v>1975.5384879999999</v>
      </c>
      <c r="G5" s="73">
        <f t="shared" ref="G5:G40" si="1">IF(F5&gt;$K$4,$K$4*$K$18%,F5*$K$18%)</f>
        <v>655.48367031839996</v>
      </c>
      <c r="I5" s="259"/>
      <c r="J5" s="271"/>
      <c r="K5" s="272"/>
      <c r="L5" s="273"/>
      <c r="M5" s="272"/>
      <c r="N5" s="8"/>
    </row>
    <row r="6" spans="1:14" ht="15" customHeight="1" x14ac:dyDescent="0.3">
      <c r="A6" s="38">
        <v>35</v>
      </c>
      <c r="B6" s="73">
        <f t="shared" ref="B6:B40" si="2">PRODUCT(B$4,A6)/A$4</f>
        <v>1477.4325650000001</v>
      </c>
      <c r="C6" s="74">
        <f t="shared" si="0"/>
        <v>1669.5000000000002</v>
      </c>
      <c r="D6" s="73">
        <f t="shared" ref="D6:D40" si="3">IF(B6&lt;C6,C6*$K$18%,B6*$K$18%)</f>
        <v>553.94010000000003</v>
      </c>
      <c r="E6" s="38">
        <v>35</v>
      </c>
      <c r="F6" s="73">
        <f t="shared" ref="F6:F40" si="4">PRODUCT(F$4,E6)/E$4</f>
        <v>1920.6624188888889</v>
      </c>
      <c r="G6" s="73">
        <f t="shared" si="1"/>
        <v>637.27579058733329</v>
      </c>
      <c r="I6" s="35"/>
      <c r="J6" s="8"/>
      <c r="K6" s="8"/>
      <c r="L6" s="115"/>
      <c r="M6" s="8"/>
      <c r="N6" s="8"/>
    </row>
    <row r="7" spans="1:14" ht="15" customHeight="1" thickBot="1" x14ac:dyDescent="0.35">
      <c r="A7" s="38">
        <v>34</v>
      </c>
      <c r="B7" s="73">
        <f t="shared" si="2"/>
        <v>1435.2202060000002</v>
      </c>
      <c r="C7" s="74">
        <f t="shared" si="0"/>
        <v>1621.8</v>
      </c>
      <c r="D7" s="73">
        <f t="shared" si="3"/>
        <v>538.11323999999991</v>
      </c>
      <c r="E7" s="38">
        <v>34</v>
      </c>
      <c r="F7" s="73">
        <f t="shared" si="4"/>
        <v>1865.786349777778</v>
      </c>
      <c r="G7" s="73">
        <f t="shared" si="1"/>
        <v>619.06791085626674</v>
      </c>
      <c r="I7" s="35"/>
      <c r="J7" s="19"/>
      <c r="K7" s="8"/>
      <c r="L7" s="115"/>
      <c r="M7" s="8"/>
      <c r="N7" s="8"/>
    </row>
    <row r="8" spans="1:14" ht="15" customHeight="1" x14ac:dyDescent="0.3">
      <c r="A8" s="38">
        <v>33</v>
      </c>
      <c r="B8" s="73">
        <f t="shared" si="2"/>
        <v>1393.0078470000001</v>
      </c>
      <c r="C8" s="74">
        <f t="shared" si="0"/>
        <v>1574.1000000000004</v>
      </c>
      <c r="D8" s="73">
        <f t="shared" si="3"/>
        <v>522.28638000000012</v>
      </c>
      <c r="E8" s="38">
        <v>33</v>
      </c>
      <c r="F8" s="73">
        <f t="shared" si="4"/>
        <v>1810.9102806666667</v>
      </c>
      <c r="G8" s="73">
        <f t="shared" si="1"/>
        <v>600.86003112519995</v>
      </c>
      <c r="I8" s="234" t="s">
        <v>87</v>
      </c>
      <c r="J8" s="234"/>
      <c r="K8" s="235"/>
      <c r="L8" s="238">
        <v>0</v>
      </c>
      <c r="M8" s="8"/>
      <c r="N8" s="152"/>
    </row>
    <row r="9" spans="1:14" ht="15" customHeight="1" thickBot="1" x14ac:dyDescent="0.35">
      <c r="A9" s="38">
        <v>32</v>
      </c>
      <c r="B9" s="73">
        <f t="shared" si="2"/>
        <v>1350.795488</v>
      </c>
      <c r="C9" s="74">
        <f t="shared" si="0"/>
        <v>1526.4</v>
      </c>
      <c r="D9" s="73">
        <f t="shared" si="3"/>
        <v>506.45952</v>
      </c>
      <c r="E9" s="38">
        <v>32</v>
      </c>
      <c r="F9" s="73">
        <f t="shared" si="4"/>
        <v>1756.0342115555557</v>
      </c>
      <c r="G9" s="73">
        <f t="shared" si="1"/>
        <v>582.65215139413328</v>
      </c>
      <c r="I9" s="234"/>
      <c r="J9" s="234"/>
      <c r="K9" s="235"/>
      <c r="L9" s="239"/>
      <c r="M9" s="8"/>
      <c r="N9" s="8"/>
    </row>
    <row r="10" spans="1:14" ht="15" customHeight="1" thickBot="1" x14ac:dyDescent="0.35">
      <c r="A10" s="38">
        <v>31</v>
      </c>
      <c r="B10" s="73">
        <f t="shared" si="2"/>
        <v>1308.5831290000001</v>
      </c>
      <c r="C10" s="74">
        <f t="shared" si="0"/>
        <v>1478.7</v>
      </c>
      <c r="D10" s="73">
        <f t="shared" si="3"/>
        <v>490.63265999999999</v>
      </c>
      <c r="E10" s="38">
        <v>31</v>
      </c>
      <c r="F10" s="73">
        <f t="shared" si="4"/>
        <v>1701.1581424444444</v>
      </c>
      <c r="G10" s="73">
        <f t="shared" si="1"/>
        <v>564.44427166306662</v>
      </c>
      <c r="I10" s="120"/>
      <c r="J10" s="121"/>
      <c r="K10" s="122"/>
      <c r="L10" s="123"/>
      <c r="M10" s="8"/>
      <c r="N10" s="8"/>
    </row>
    <row r="11" spans="1:14" ht="15" customHeight="1" x14ac:dyDescent="0.3">
      <c r="A11" s="38">
        <v>30</v>
      </c>
      <c r="B11" s="73">
        <f t="shared" si="2"/>
        <v>1266.37077</v>
      </c>
      <c r="C11" s="74">
        <f t="shared" si="0"/>
        <v>1431</v>
      </c>
      <c r="D11" s="73">
        <f t="shared" si="3"/>
        <v>474.80579999999998</v>
      </c>
      <c r="E11" s="38">
        <v>30</v>
      </c>
      <c r="F11" s="73">
        <f t="shared" si="4"/>
        <v>1646.2820733333335</v>
      </c>
      <c r="G11" s="73">
        <f t="shared" si="1"/>
        <v>546.23639193200006</v>
      </c>
      <c r="I11" s="240" t="s">
        <v>62</v>
      </c>
      <c r="J11" s="241"/>
      <c r="K11" s="241"/>
      <c r="L11" s="242"/>
      <c r="M11" s="8"/>
      <c r="N11" s="8"/>
    </row>
    <row r="12" spans="1:14" ht="15" customHeight="1" thickBot="1" x14ac:dyDescent="0.35">
      <c r="A12" s="38">
        <v>29</v>
      </c>
      <c r="B12" s="73">
        <f t="shared" si="2"/>
        <v>1224.1584110000001</v>
      </c>
      <c r="C12" s="74">
        <f t="shared" si="0"/>
        <v>1383.3000000000002</v>
      </c>
      <c r="D12" s="73">
        <f t="shared" si="3"/>
        <v>458.97894000000002</v>
      </c>
      <c r="E12" s="38">
        <v>29</v>
      </c>
      <c r="F12" s="73">
        <f t="shared" si="4"/>
        <v>1591.4060042222222</v>
      </c>
      <c r="G12" s="73">
        <f t="shared" si="1"/>
        <v>528.02851220093328</v>
      </c>
      <c r="I12" s="243"/>
      <c r="J12" s="244"/>
      <c r="K12" s="244"/>
      <c r="L12" s="245"/>
      <c r="M12" s="8"/>
      <c r="N12" s="8"/>
    </row>
    <row r="13" spans="1:14" ht="15" customHeight="1" thickBot="1" x14ac:dyDescent="0.35">
      <c r="A13" s="38">
        <v>28</v>
      </c>
      <c r="B13" s="73">
        <f t="shared" si="2"/>
        <v>1181.946052</v>
      </c>
      <c r="C13" s="74">
        <f t="shared" si="0"/>
        <v>1335.6000000000004</v>
      </c>
      <c r="D13" s="73">
        <f t="shared" si="3"/>
        <v>443.15208000000013</v>
      </c>
      <c r="E13" s="38">
        <v>28</v>
      </c>
      <c r="F13" s="73">
        <f t="shared" si="4"/>
        <v>1536.5299351111112</v>
      </c>
      <c r="G13" s="73">
        <f t="shared" si="1"/>
        <v>509.82063246986667</v>
      </c>
      <c r="I13" s="117"/>
      <c r="J13" s="118" t="s">
        <v>55</v>
      </c>
      <c r="K13" s="133" t="s">
        <v>56</v>
      </c>
      <c r="L13" s="119" t="s">
        <v>57</v>
      </c>
      <c r="M13" s="8"/>
      <c r="N13" s="8"/>
    </row>
    <row r="14" spans="1:14" ht="15" customHeight="1" x14ac:dyDescent="0.3">
      <c r="A14" s="38">
        <v>27</v>
      </c>
      <c r="B14" s="73">
        <f t="shared" si="2"/>
        <v>1139.7336929999999</v>
      </c>
      <c r="C14" s="74">
        <f t="shared" si="0"/>
        <v>1287.9000000000001</v>
      </c>
      <c r="D14" s="73">
        <f t="shared" si="3"/>
        <v>427.32522</v>
      </c>
      <c r="E14" s="38">
        <v>27</v>
      </c>
      <c r="F14" s="73">
        <f t="shared" si="4"/>
        <v>1481.6538660000001</v>
      </c>
      <c r="G14" s="73">
        <f t="shared" si="1"/>
        <v>491.6127527388</v>
      </c>
      <c r="I14" s="268" t="s">
        <v>58</v>
      </c>
      <c r="J14" s="246">
        <f>IF(L8&gt;=J4,L8,J4)</f>
        <v>1847.4</v>
      </c>
      <c r="K14" s="248">
        <v>24.18</v>
      </c>
      <c r="L14" s="253">
        <f>J14*K14%</f>
        <v>446.70132000000001</v>
      </c>
      <c r="M14" s="8"/>
      <c r="N14" s="8"/>
    </row>
    <row r="15" spans="1:14" ht="15" customHeight="1" thickBot="1" x14ac:dyDescent="0.35">
      <c r="A15" s="38">
        <v>26</v>
      </c>
      <c r="B15" s="73">
        <f t="shared" si="2"/>
        <v>1097.521334</v>
      </c>
      <c r="C15" s="74">
        <f t="shared" si="0"/>
        <v>1240.2</v>
      </c>
      <c r="D15" s="73">
        <f t="shared" si="3"/>
        <v>411.49835999999999</v>
      </c>
      <c r="E15" s="38">
        <v>26</v>
      </c>
      <c r="F15" s="73">
        <f t="shared" si="4"/>
        <v>1426.7777968888888</v>
      </c>
      <c r="G15" s="73">
        <f t="shared" si="1"/>
        <v>473.40487300773327</v>
      </c>
      <c r="I15" s="269"/>
      <c r="J15" s="247"/>
      <c r="K15" s="249"/>
      <c r="L15" s="254"/>
      <c r="M15" s="8"/>
      <c r="N15" s="8"/>
    </row>
    <row r="16" spans="1:14" ht="15" customHeight="1" x14ac:dyDescent="0.3">
      <c r="A16" s="38">
        <v>25</v>
      </c>
      <c r="B16" s="73">
        <f t="shared" si="2"/>
        <v>1055.3089749999999</v>
      </c>
      <c r="C16" s="74">
        <f t="shared" si="0"/>
        <v>1192.5000000000002</v>
      </c>
      <c r="D16" s="73">
        <f t="shared" si="3"/>
        <v>395.67150000000004</v>
      </c>
      <c r="E16" s="38">
        <v>25</v>
      </c>
      <c r="F16" s="73">
        <f t="shared" si="4"/>
        <v>1371.901727777778</v>
      </c>
      <c r="G16" s="73">
        <f t="shared" si="1"/>
        <v>455.19699327666672</v>
      </c>
      <c r="I16" s="251" t="s">
        <v>59</v>
      </c>
      <c r="J16" s="246">
        <f>IF(L8&gt;=L4,L8,L4)</f>
        <v>1323</v>
      </c>
      <c r="K16" s="248">
        <v>9</v>
      </c>
      <c r="L16" s="232">
        <f>J16*K16%</f>
        <v>119.07</v>
      </c>
      <c r="M16" s="8"/>
      <c r="N16" s="8"/>
    </row>
    <row r="17" spans="1:14" ht="15" customHeight="1" thickBot="1" x14ac:dyDescent="0.35">
      <c r="A17" s="38">
        <v>24</v>
      </c>
      <c r="B17" s="73">
        <f t="shared" si="2"/>
        <v>1013.0966160000002</v>
      </c>
      <c r="C17" s="74">
        <f t="shared" si="0"/>
        <v>1144.8</v>
      </c>
      <c r="D17" s="73">
        <f t="shared" si="3"/>
        <v>379.84463999999997</v>
      </c>
      <c r="E17" s="38">
        <v>24</v>
      </c>
      <c r="F17" s="73">
        <f t="shared" si="4"/>
        <v>1317.0256586666667</v>
      </c>
      <c r="G17" s="73">
        <f t="shared" si="1"/>
        <v>436.98911354559999</v>
      </c>
      <c r="I17" s="252"/>
      <c r="J17" s="247"/>
      <c r="K17" s="249">
        <v>0.2</v>
      </c>
      <c r="L17" s="250"/>
      <c r="M17" s="8"/>
      <c r="N17" s="8"/>
    </row>
    <row r="18" spans="1:14" ht="15" customHeight="1" thickBot="1" x14ac:dyDescent="0.35">
      <c r="A18" s="38">
        <v>23</v>
      </c>
      <c r="B18" s="73">
        <f t="shared" si="2"/>
        <v>970.88425700000005</v>
      </c>
      <c r="C18" s="74">
        <f t="shared" si="0"/>
        <v>1097.1000000000001</v>
      </c>
      <c r="D18" s="73">
        <f t="shared" si="3"/>
        <v>364.01778000000002</v>
      </c>
      <c r="E18" s="38">
        <v>23</v>
      </c>
      <c r="F18" s="73">
        <f t="shared" si="4"/>
        <v>1262.1495895555556</v>
      </c>
      <c r="G18" s="73">
        <f t="shared" si="1"/>
        <v>418.78123381453332</v>
      </c>
      <c r="I18" s="266" t="s">
        <v>63</v>
      </c>
      <c r="J18" s="267"/>
      <c r="K18" s="134">
        <f>(K14+K16)</f>
        <v>33.18</v>
      </c>
      <c r="L18" s="130">
        <f>SUM(L14:L17)</f>
        <v>565.77132000000006</v>
      </c>
      <c r="M18" s="8"/>
      <c r="N18" s="8"/>
    </row>
    <row r="19" spans="1:14" ht="15" customHeight="1" x14ac:dyDescent="0.3">
      <c r="A19" s="38">
        <v>22</v>
      </c>
      <c r="B19" s="73">
        <f t="shared" si="2"/>
        <v>928.67189800000017</v>
      </c>
      <c r="C19" s="74">
        <f t="shared" si="0"/>
        <v>1049.4000000000001</v>
      </c>
      <c r="D19" s="73">
        <f t="shared" si="3"/>
        <v>348.19092000000001</v>
      </c>
      <c r="E19" s="38">
        <v>22</v>
      </c>
      <c r="F19" s="73">
        <f t="shared" si="4"/>
        <v>1207.2735204444446</v>
      </c>
      <c r="G19" s="73">
        <f t="shared" si="1"/>
        <v>400.57335408346671</v>
      </c>
      <c r="I19" s="126"/>
      <c r="J19" s="127"/>
      <c r="K19" s="128"/>
      <c r="L19" s="129"/>
      <c r="M19" s="8"/>
      <c r="N19" s="8"/>
    </row>
    <row r="20" spans="1:14" ht="15" customHeight="1" x14ac:dyDescent="0.3">
      <c r="A20" s="38">
        <v>21</v>
      </c>
      <c r="B20" s="73">
        <f t="shared" si="2"/>
        <v>886.45953900000006</v>
      </c>
      <c r="C20" s="74">
        <f t="shared" si="0"/>
        <v>1001.7</v>
      </c>
      <c r="D20" s="73">
        <f t="shared" si="3"/>
        <v>332.36405999999999</v>
      </c>
      <c r="E20" s="38">
        <v>21</v>
      </c>
      <c r="F20" s="73">
        <f t="shared" si="4"/>
        <v>1152.3974513333333</v>
      </c>
      <c r="G20" s="73">
        <f t="shared" si="1"/>
        <v>382.36547435239999</v>
      </c>
      <c r="I20" s="270" t="s">
        <v>78</v>
      </c>
      <c r="J20" s="270"/>
      <c r="K20" s="270"/>
      <c r="L20" s="270"/>
      <c r="M20" s="270"/>
      <c r="N20" s="270"/>
    </row>
    <row r="21" spans="1:14" ht="15" customHeight="1" x14ac:dyDescent="0.3">
      <c r="A21" s="38">
        <v>20</v>
      </c>
      <c r="B21" s="73">
        <f t="shared" si="2"/>
        <v>844.24718000000007</v>
      </c>
      <c r="C21" s="74">
        <f t="shared" si="0"/>
        <v>954.00000000000011</v>
      </c>
      <c r="D21" s="73">
        <f t="shared" si="3"/>
        <v>316.53720000000004</v>
      </c>
      <c r="E21" s="38">
        <v>20</v>
      </c>
      <c r="F21" s="73">
        <f t="shared" si="4"/>
        <v>1097.5213822222222</v>
      </c>
      <c r="G21" s="73">
        <f t="shared" si="1"/>
        <v>364.15759462133332</v>
      </c>
      <c r="I21" s="270"/>
      <c r="J21" s="270"/>
      <c r="K21" s="270"/>
      <c r="L21" s="270"/>
      <c r="M21" s="270"/>
      <c r="N21" s="270"/>
    </row>
    <row r="22" spans="1:14" ht="15" customHeight="1" thickBot="1" x14ac:dyDescent="0.35">
      <c r="A22" s="38">
        <v>19</v>
      </c>
      <c r="B22" s="73">
        <f t="shared" si="2"/>
        <v>802.03482100000008</v>
      </c>
      <c r="C22" s="74">
        <f t="shared" si="0"/>
        <v>906.30000000000007</v>
      </c>
      <c r="D22" s="73">
        <f t="shared" si="3"/>
        <v>300.71034000000003</v>
      </c>
      <c r="E22" s="38">
        <v>19</v>
      </c>
      <c r="F22" s="73">
        <f t="shared" si="4"/>
        <v>1042.6453131111111</v>
      </c>
      <c r="G22" s="73">
        <f t="shared" si="1"/>
        <v>345.94971489026665</v>
      </c>
      <c r="I22" s="35"/>
      <c r="J22" s="19"/>
      <c r="K22" s="8"/>
      <c r="L22" s="115"/>
      <c r="M22" s="8"/>
      <c r="N22" s="8"/>
    </row>
    <row r="23" spans="1:14" ht="15" customHeight="1" x14ac:dyDescent="0.3">
      <c r="A23" s="38">
        <v>18</v>
      </c>
      <c r="B23" s="73">
        <f t="shared" si="2"/>
        <v>759.82246200000009</v>
      </c>
      <c r="C23" s="74">
        <f t="shared" si="0"/>
        <v>858.60000000000014</v>
      </c>
      <c r="D23" s="73">
        <f t="shared" si="3"/>
        <v>284.88348000000002</v>
      </c>
      <c r="E23" s="38">
        <v>18</v>
      </c>
      <c r="F23" s="73">
        <f t="shared" si="4"/>
        <v>987.76924399999996</v>
      </c>
      <c r="G23" s="73">
        <f t="shared" si="1"/>
        <v>327.74183515919998</v>
      </c>
      <c r="I23" s="234" t="s">
        <v>64</v>
      </c>
      <c r="J23" s="234"/>
      <c r="K23" s="235"/>
      <c r="L23" s="236">
        <v>0</v>
      </c>
      <c r="M23" s="8"/>
      <c r="N23" s="8"/>
    </row>
    <row r="24" spans="1:14" ht="15" customHeight="1" thickBot="1" x14ac:dyDescent="0.35">
      <c r="A24" s="38">
        <v>17</v>
      </c>
      <c r="B24" s="73">
        <f t="shared" si="2"/>
        <v>717.61010300000009</v>
      </c>
      <c r="C24" s="74">
        <f t="shared" si="0"/>
        <v>810.9</v>
      </c>
      <c r="D24" s="73">
        <f t="shared" si="3"/>
        <v>269.05661999999995</v>
      </c>
      <c r="E24" s="38">
        <v>17</v>
      </c>
      <c r="F24" s="73">
        <f t="shared" si="4"/>
        <v>932.89317488888901</v>
      </c>
      <c r="G24" s="73">
        <f t="shared" si="1"/>
        <v>309.53395542813337</v>
      </c>
      <c r="I24" s="234"/>
      <c r="J24" s="234"/>
      <c r="K24" s="235"/>
      <c r="L24" s="237"/>
      <c r="M24" s="8"/>
      <c r="N24" s="8"/>
    </row>
    <row r="25" spans="1:14" ht="15" customHeight="1" thickBot="1" x14ac:dyDescent="0.35">
      <c r="A25" s="38">
        <v>16</v>
      </c>
      <c r="B25" s="73">
        <f t="shared" si="2"/>
        <v>675.39774399999999</v>
      </c>
      <c r="C25" s="74">
        <f t="shared" si="0"/>
        <v>763.2</v>
      </c>
      <c r="D25" s="73">
        <f t="shared" si="3"/>
        <v>253.22976</v>
      </c>
      <c r="E25" s="38">
        <v>16</v>
      </c>
      <c r="F25" s="73">
        <f t="shared" si="4"/>
        <v>878.01710577777783</v>
      </c>
      <c r="G25" s="73">
        <f t="shared" si="1"/>
        <v>291.32607569706664</v>
      </c>
      <c r="I25" s="35"/>
      <c r="J25" s="19"/>
      <c r="K25" s="8"/>
      <c r="L25" s="115"/>
      <c r="M25" s="8"/>
      <c r="N25" s="8"/>
    </row>
    <row r="26" spans="1:14" ht="15" customHeight="1" x14ac:dyDescent="0.3">
      <c r="A26" s="38">
        <v>15</v>
      </c>
      <c r="B26" s="73">
        <f t="shared" si="2"/>
        <v>633.185385</v>
      </c>
      <c r="C26" s="74">
        <f t="shared" si="0"/>
        <v>715.5</v>
      </c>
      <c r="D26" s="73">
        <f t="shared" si="3"/>
        <v>237.40289999999999</v>
      </c>
      <c r="E26" s="38">
        <v>15</v>
      </c>
      <c r="F26" s="73">
        <f t="shared" si="4"/>
        <v>823.14103666666676</v>
      </c>
      <c r="G26" s="73">
        <f t="shared" si="1"/>
        <v>273.11819596600003</v>
      </c>
      <c r="I26" s="234" t="s">
        <v>68</v>
      </c>
      <c r="J26" s="234"/>
      <c r="K26" s="235"/>
      <c r="L26" s="238">
        <v>0</v>
      </c>
      <c r="M26" s="8"/>
      <c r="N26" s="8"/>
    </row>
    <row r="27" spans="1:14" ht="15" customHeight="1" thickBot="1" x14ac:dyDescent="0.35">
      <c r="A27" s="38">
        <v>14</v>
      </c>
      <c r="B27" s="73">
        <f t="shared" si="2"/>
        <v>590.973026</v>
      </c>
      <c r="C27" s="74">
        <f t="shared" si="0"/>
        <v>667.80000000000018</v>
      </c>
      <c r="D27" s="73">
        <f t="shared" si="3"/>
        <v>221.57604000000006</v>
      </c>
      <c r="E27" s="38">
        <v>14</v>
      </c>
      <c r="F27" s="73">
        <f t="shared" si="4"/>
        <v>768.26496755555559</v>
      </c>
      <c r="G27" s="73">
        <f t="shared" si="1"/>
        <v>254.91031623493333</v>
      </c>
      <c r="I27" s="234"/>
      <c r="J27" s="234"/>
      <c r="K27" s="235"/>
      <c r="L27" s="239"/>
      <c r="M27" s="8"/>
      <c r="N27" s="8"/>
    </row>
    <row r="28" spans="1:14" ht="15" customHeight="1" thickBot="1" x14ac:dyDescent="0.35">
      <c r="A28" s="38">
        <v>13</v>
      </c>
      <c r="B28" s="73">
        <f t="shared" si="2"/>
        <v>548.76066700000001</v>
      </c>
      <c r="C28" s="74">
        <f t="shared" si="0"/>
        <v>620.1</v>
      </c>
      <c r="D28" s="73">
        <f t="shared" si="3"/>
        <v>205.74918</v>
      </c>
      <c r="E28" s="38">
        <v>13</v>
      </c>
      <c r="F28" s="73">
        <f t="shared" si="4"/>
        <v>713.38889844444441</v>
      </c>
      <c r="G28" s="73">
        <f t="shared" si="1"/>
        <v>236.70243650386664</v>
      </c>
      <c r="I28" s="35"/>
      <c r="J28" s="19"/>
      <c r="K28" s="8"/>
      <c r="L28" s="115"/>
      <c r="M28" s="8"/>
      <c r="N28" s="8"/>
    </row>
    <row r="29" spans="1:14" ht="15" customHeight="1" x14ac:dyDescent="0.3">
      <c r="A29" s="38">
        <v>12</v>
      </c>
      <c r="B29" s="73">
        <f t="shared" si="2"/>
        <v>506.54830800000008</v>
      </c>
      <c r="C29" s="74">
        <f t="shared" si="0"/>
        <v>572.4</v>
      </c>
      <c r="D29" s="73">
        <f t="shared" si="3"/>
        <v>189.92231999999998</v>
      </c>
      <c r="E29" s="38">
        <v>12</v>
      </c>
      <c r="F29" s="73">
        <f t="shared" si="4"/>
        <v>658.51282933333334</v>
      </c>
      <c r="G29" s="73">
        <f t="shared" si="1"/>
        <v>218.4945567728</v>
      </c>
      <c r="I29" s="240" t="s">
        <v>65</v>
      </c>
      <c r="J29" s="241"/>
      <c r="K29" s="241"/>
      <c r="L29" s="242"/>
      <c r="M29" s="8"/>
      <c r="N29" s="8"/>
    </row>
    <row r="30" spans="1:14" ht="15" customHeight="1" thickBot="1" x14ac:dyDescent="0.35">
      <c r="A30" s="38">
        <v>11</v>
      </c>
      <c r="B30" s="73">
        <f t="shared" si="2"/>
        <v>464.33594900000008</v>
      </c>
      <c r="C30" s="74">
        <f t="shared" si="0"/>
        <v>524.70000000000005</v>
      </c>
      <c r="D30" s="73">
        <f t="shared" si="3"/>
        <v>174.09546</v>
      </c>
      <c r="E30" s="38">
        <v>11</v>
      </c>
      <c r="F30" s="73">
        <f t="shared" si="4"/>
        <v>603.63676022222228</v>
      </c>
      <c r="G30" s="73">
        <f t="shared" si="1"/>
        <v>200.28667704173336</v>
      </c>
      <c r="I30" s="243"/>
      <c r="J30" s="244"/>
      <c r="K30" s="244"/>
      <c r="L30" s="245"/>
      <c r="M30" s="8"/>
      <c r="N30" s="8"/>
    </row>
    <row r="31" spans="1:14" ht="15" customHeight="1" thickBot="1" x14ac:dyDescent="0.35">
      <c r="A31" s="38">
        <v>10</v>
      </c>
      <c r="B31" s="73">
        <f t="shared" si="2"/>
        <v>422.12359000000004</v>
      </c>
      <c r="C31" s="74">
        <f t="shared" si="0"/>
        <v>477.00000000000006</v>
      </c>
      <c r="D31" s="73">
        <f t="shared" si="3"/>
        <v>158.26860000000002</v>
      </c>
      <c r="E31" s="38">
        <v>10</v>
      </c>
      <c r="F31" s="73">
        <f t="shared" si="4"/>
        <v>548.7606911111111</v>
      </c>
      <c r="G31" s="73">
        <f t="shared" si="1"/>
        <v>182.07879731066666</v>
      </c>
      <c r="I31" s="137" t="s">
        <v>69</v>
      </c>
      <c r="J31" s="135" t="s">
        <v>55</v>
      </c>
      <c r="K31" s="133" t="s">
        <v>70</v>
      </c>
      <c r="L31" s="119" t="s">
        <v>57</v>
      </c>
      <c r="M31" s="8"/>
      <c r="N31" s="8"/>
    </row>
    <row r="32" spans="1:14" ht="15" customHeight="1" x14ac:dyDescent="0.3">
      <c r="A32" s="38">
        <v>9</v>
      </c>
      <c r="B32" s="73">
        <f t="shared" si="2"/>
        <v>379.91123100000004</v>
      </c>
      <c r="C32" s="74">
        <f t="shared" si="0"/>
        <v>429.30000000000007</v>
      </c>
      <c r="D32" s="73">
        <f t="shared" si="3"/>
        <v>142.44174000000001</v>
      </c>
      <c r="E32" s="38">
        <v>9</v>
      </c>
      <c r="F32" s="73">
        <f t="shared" si="4"/>
        <v>493.88462199999998</v>
      </c>
      <c r="G32" s="73">
        <f t="shared" si="1"/>
        <v>163.87091757959999</v>
      </c>
      <c r="I32" s="226">
        <f>((L23/37.5*7.5*5)/7)*30*$C$43</f>
        <v>0</v>
      </c>
      <c r="J32" s="228">
        <f>IF(L26&lt;I32,I32,L26)</f>
        <v>0</v>
      </c>
      <c r="K32" s="230">
        <v>33.18</v>
      </c>
      <c r="L32" s="232">
        <f>J32*K32%</f>
        <v>0</v>
      </c>
      <c r="M32" s="8"/>
      <c r="N32" s="8"/>
    </row>
    <row r="33" spans="1:14" ht="15" customHeight="1" thickBot="1" x14ac:dyDescent="0.35">
      <c r="A33" s="38">
        <v>8</v>
      </c>
      <c r="B33" s="73">
        <f t="shared" si="2"/>
        <v>337.69887199999999</v>
      </c>
      <c r="C33" s="74">
        <f t="shared" si="0"/>
        <v>381.6</v>
      </c>
      <c r="D33" s="73">
        <f t="shared" si="3"/>
        <v>126.61488</v>
      </c>
      <c r="E33" s="38">
        <v>8</v>
      </c>
      <c r="F33" s="73">
        <f t="shared" si="4"/>
        <v>439.00855288888891</v>
      </c>
      <c r="G33" s="73">
        <f t="shared" si="1"/>
        <v>145.66303784853332</v>
      </c>
      <c r="I33" s="227"/>
      <c r="J33" s="229"/>
      <c r="K33" s="231"/>
      <c r="L33" s="233"/>
      <c r="M33" s="8"/>
      <c r="N33" s="8"/>
    </row>
    <row r="34" spans="1:14" ht="15" customHeight="1" thickBot="1" x14ac:dyDescent="0.35">
      <c r="A34" s="38">
        <v>7</v>
      </c>
      <c r="B34" s="73">
        <f t="shared" si="2"/>
        <v>295.486513</v>
      </c>
      <c r="C34" s="74">
        <f t="shared" si="0"/>
        <v>333.90000000000009</v>
      </c>
      <c r="D34" s="73">
        <f t="shared" si="3"/>
        <v>110.78802000000003</v>
      </c>
      <c r="E34" s="38">
        <v>7</v>
      </c>
      <c r="F34" s="73">
        <f t="shared" si="4"/>
        <v>384.13248377777779</v>
      </c>
      <c r="G34" s="73">
        <f t="shared" si="1"/>
        <v>127.45515811746667</v>
      </c>
      <c r="I34" s="221" t="s">
        <v>66</v>
      </c>
      <c r="J34" s="222"/>
      <c r="K34" s="223"/>
      <c r="L34" s="130">
        <f>SUM(L32)</f>
        <v>0</v>
      </c>
      <c r="M34" s="8"/>
      <c r="N34" s="8"/>
    </row>
    <row r="35" spans="1:14" ht="15" customHeight="1" x14ac:dyDescent="0.3">
      <c r="A35" s="38">
        <v>6</v>
      </c>
      <c r="B35" s="73">
        <f t="shared" si="2"/>
        <v>253.27415400000004</v>
      </c>
      <c r="C35" s="74">
        <f t="shared" si="0"/>
        <v>286.2</v>
      </c>
      <c r="D35" s="73">
        <f t="shared" si="3"/>
        <v>94.961159999999992</v>
      </c>
      <c r="E35" s="38">
        <v>6</v>
      </c>
      <c r="F35" s="73">
        <f t="shared" si="4"/>
        <v>329.25641466666667</v>
      </c>
      <c r="G35" s="73">
        <f t="shared" si="1"/>
        <v>109.2472783864</v>
      </c>
      <c r="I35" s="35"/>
      <c r="J35" s="19"/>
      <c r="K35" s="8"/>
      <c r="L35" s="115"/>
      <c r="M35" s="8"/>
      <c r="N35" s="136"/>
    </row>
    <row r="36" spans="1:14" ht="15" customHeight="1" x14ac:dyDescent="0.3">
      <c r="A36" s="38">
        <v>5</v>
      </c>
      <c r="B36" s="73">
        <f t="shared" si="2"/>
        <v>211.06179500000002</v>
      </c>
      <c r="C36" s="74">
        <f t="shared" si="0"/>
        <v>238.50000000000003</v>
      </c>
      <c r="D36" s="73">
        <f t="shared" si="3"/>
        <v>79.13430000000001</v>
      </c>
      <c r="E36" s="38">
        <v>5</v>
      </c>
      <c r="F36" s="73">
        <f t="shared" si="4"/>
        <v>274.38034555555555</v>
      </c>
      <c r="G36" s="73">
        <f t="shared" si="1"/>
        <v>91.039398655333329</v>
      </c>
      <c r="I36" s="224" t="s">
        <v>67</v>
      </c>
      <c r="J36" s="224"/>
      <c r="K36" s="224"/>
      <c r="L36" s="224"/>
      <c r="M36" s="225" t="s">
        <v>101</v>
      </c>
      <c r="N36" s="136"/>
    </row>
    <row r="37" spans="1:14" ht="15" customHeight="1" x14ac:dyDescent="0.3">
      <c r="A37" s="38">
        <v>4</v>
      </c>
      <c r="B37" s="73">
        <f t="shared" si="2"/>
        <v>168.849436</v>
      </c>
      <c r="C37" s="74">
        <f t="shared" si="0"/>
        <v>190.8</v>
      </c>
      <c r="D37" s="73">
        <f t="shared" si="3"/>
        <v>63.30744</v>
      </c>
      <c r="E37" s="38">
        <v>4</v>
      </c>
      <c r="F37" s="73">
        <f t="shared" si="4"/>
        <v>219.50427644444446</v>
      </c>
      <c r="G37" s="73">
        <f t="shared" si="1"/>
        <v>72.831518924266661</v>
      </c>
      <c r="I37" s="224"/>
      <c r="J37" s="224"/>
      <c r="K37" s="224"/>
      <c r="L37" s="224"/>
      <c r="M37" s="225"/>
      <c r="N37" s="136"/>
    </row>
    <row r="38" spans="1:14" ht="15" customHeight="1" x14ac:dyDescent="0.3">
      <c r="A38" s="38">
        <v>3</v>
      </c>
      <c r="B38" s="73">
        <f t="shared" si="2"/>
        <v>126.63707700000002</v>
      </c>
      <c r="C38" s="74">
        <f t="shared" si="0"/>
        <v>143.1</v>
      </c>
      <c r="D38" s="73">
        <f t="shared" si="3"/>
        <v>47.480579999999996</v>
      </c>
      <c r="E38" s="38">
        <v>3</v>
      </c>
      <c r="F38" s="73">
        <f t="shared" si="4"/>
        <v>164.62820733333334</v>
      </c>
      <c r="G38" s="73">
        <f t="shared" si="1"/>
        <v>54.623639193199999</v>
      </c>
      <c r="I38" s="5"/>
    </row>
    <row r="39" spans="1:14" ht="15" customHeight="1" x14ac:dyDescent="0.3">
      <c r="A39" s="38">
        <v>2</v>
      </c>
      <c r="B39" s="73">
        <f t="shared" si="2"/>
        <v>84.424717999999999</v>
      </c>
      <c r="C39" s="74">
        <f t="shared" si="0"/>
        <v>95.4</v>
      </c>
      <c r="D39" s="73">
        <f t="shared" si="3"/>
        <v>31.65372</v>
      </c>
      <c r="E39" s="38">
        <v>2</v>
      </c>
      <c r="F39" s="73">
        <f t="shared" si="4"/>
        <v>109.75213822222223</v>
      </c>
      <c r="G39" s="73">
        <f t="shared" si="1"/>
        <v>36.41575946213333</v>
      </c>
      <c r="I39" s="5"/>
    </row>
    <row r="40" spans="1:14" ht="15" customHeight="1" x14ac:dyDescent="0.3">
      <c r="A40" s="39">
        <v>1</v>
      </c>
      <c r="B40" s="75">
        <f t="shared" si="2"/>
        <v>42.212358999999999</v>
      </c>
      <c r="C40" s="76">
        <f t="shared" si="0"/>
        <v>47.7</v>
      </c>
      <c r="D40" s="75">
        <f t="shared" si="3"/>
        <v>15.82686</v>
      </c>
      <c r="E40" s="39">
        <v>1</v>
      </c>
      <c r="F40" s="75">
        <f t="shared" si="4"/>
        <v>54.876069111111114</v>
      </c>
      <c r="G40" s="75">
        <f t="shared" si="1"/>
        <v>18.207879731066665</v>
      </c>
      <c r="I40" s="5"/>
    </row>
    <row r="41" spans="1:14" hidden="1" x14ac:dyDescent="0.3"/>
    <row r="42" spans="1:14" ht="14.5" hidden="1" thickBot="1" x14ac:dyDescent="0.35">
      <c r="C42" s="211" t="s">
        <v>93</v>
      </c>
    </row>
    <row r="43" spans="1:14" s="21" customFormat="1" ht="39.5" hidden="1" customHeight="1" thickBot="1" x14ac:dyDescent="0.3">
      <c r="A43" s="190"/>
      <c r="B43" s="208" t="s">
        <v>14</v>
      </c>
      <c r="C43" s="209">
        <v>11.13</v>
      </c>
      <c r="D43" s="190"/>
      <c r="E43" s="192"/>
      <c r="F43" s="190"/>
      <c r="G43" s="190"/>
      <c r="I43" s="193"/>
    </row>
    <row r="44" spans="1:14" hidden="1" x14ac:dyDescent="0.3"/>
    <row r="45" spans="1:14" hidden="1" x14ac:dyDescent="0.3"/>
    <row r="46" spans="1:14" hidden="1" x14ac:dyDescent="0.3"/>
  </sheetData>
  <sheetProtection algorithmName="SHA-512" hashValue="fVD01Evci2yHse4TdLmUdT0bNd2aTmYQ6MSXC9lbpja2SlSzJ5QMdHn3DvWz1cNgKKsbmNdjXlyd4w3xmrmtag==" saltValue="yhmZxqvAaJQobEJYy/kKRQ==" spinCount="100000" sheet="1" objects="1" scenarios="1"/>
  <protectedRanges>
    <protectedRange sqref="M36" name="CALCULO RC"/>
    <protectedRange sqref="L8" name="RET TC_1"/>
    <protectedRange sqref="L23" name="DED_1"/>
    <protectedRange sqref="L26" name="RET TP_1"/>
  </protectedRanges>
  <mergeCells count="35">
    <mergeCell ref="I34:K34"/>
    <mergeCell ref="I36:L37"/>
    <mergeCell ref="M36:M37"/>
    <mergeCell ref="I29:L30"/>
    <mergeCell ref="I32:I33"/>
    <mergeCell ref="J32:J33"/>
    <mergeCell ref="K32:K33"/>
    <mergeCell ref="L32:L33"/>
    <mergeCell ref="I20:N21"/>
    <mergeCell ref="I23:K24"/>
    <mergeCell ref="L23:L24"/>
    <mergeCell ref="I26:K27"/>
    <mergeCell ref="L26:L27"/>
    <mergeCell ref="I16:I17"/>
    <mergeCell ref="J16:J17"/>
    <mergeCell ref="K16:K17"/>
    <mergeCell ref="L16:L17"/>
    <mergeCell ref="I18:J18"/>
    <mergeCell ref="I8:K9"/>
    <mergeCell ref="L8:L9"/>
    <mergeCell ref="I11:L12"/>
    <mergeCell ref="I14:I15"/>
    <mergeCell ref="J14:J15"/>
    <mergeCell ref="K14:K15"/>
    <mergeCell ref="L14:L15"/>
    <mergeCell ref="I4:I5"/>
    <mergeCell ref="J4:J5"/>
    <mergeCell ref="K4:K5"/>
    <mergeCell ref="L4:L5"/>
    <mergeCell ref="M4:M5"/>
    <mergeCell ref="B2:D2"/>
    <mergeCell ref="F2:G2"/>
    <mergeCell ref="A1:G1"/>
    <mergeCell ref="I2:K2"/>
    <mergeCell ref="L2:M2"/>
  </mergeCells>
  <hyperlinks>
    <hyperlink ref="M36:M37" r:id="rId1" display="CALCULO RC" xr:uid="{00000000-0004-0000-0400-000000000000}"/>
  </hyperlinks>
  <pageMargins left="0.94488188976377963" right="0.94488188976377963" top="0" bottom="0.39370078740157483" header="0" footer="0"/>
  <pageSetup paperSize="9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7"/>
  <sheetViews>
    <sheetView topLeftCell="A31" zoomScaleNormal="100" workbookViewId="0">
      <selection activeCell="A42" sqref="A42:XFD47"/>
    </sheetView>
  </sheetViews>
  <sheetFormatPr baseColWidth="10" defaultColWidth="11.54296875" defaultRowHeight="14" x14ac:dyDescent="0.3"/>
  <cols>
    <col min="1" max="1" width="18.453125" style="4" customWidth="1"/>
    <col min="2" max="2" width="24.54296875" style="68" customWidth="1"/>
    <col min="3" max="3" width="10.36328125" style="69" hidden="1" customWidth="1"/>
    <col min="4" max="4" width="18.453125" style="68" customWidth="1"/>
    <col min="5" max="5" width="18.453125" style="5" customWidth="1"/>
    <col min="6" max="6" width="24.81640625" style="68" customWidth="1"/>
    <col min="7" max="7" width="18.453125" style="68" customWidth="1"/>
    <col min="8" max="8" width="11.54296875" style="5"/>
    <col min="9" max="9" width="20.81640625" style="7" customWidth="1"/>
    <col min="10" max="10" width="19.81640625" style="5" customWidth="1"/>
    <col min="11" max="11" width="20.54296875" style="5" customWidth="1"/>
    <col min="12" max="12" width="17.1796875" style="5" customWidth="1"/>
    <col min="13" max="13" width="15.54296875" style="5" customWidth="1"/>
    <col min="14" max="16384" width="11.54296875" style="5"/>
  </cols>
  <sheetData>
    <row r="1" spans="1:14" s="8" customFormat="1" ht="65.25" customHeight="1" x14ac:dyDescent="0.3">
      <c r="A1" s="256" t="s">
        <v>110</v>
      </c>
      <c r="B1" s="257"/>
      <c r="C1" s="257"/>
      <c r="D1" s="257"/>
      <c r="E1" s="257"/>
      <c r="F1" s="257"/>
      <c r="G1" s="257"/>
      <c r="K1" s="19"/>
    </row>
    <row r="2" spans="1:14" s="36" customFormat="1" ht="24.75" customHeight="1" x14ac:dyDescent="0.25">
      <c r="A2" s="44"/>
      <c r="B2" s="302" t="s">
        <v>47</v>
      </c>
      <c r="C2" s="302"/>
      <c r="D2" s="303"/>
      <c r="E2" s="42"/>
      <c r="F2" s="302" t="s">
        <v>48</v>
      </c>
      <c r="G2" s="303"/>
      <c r="I2" s="258" t="s">
        <v>50</v>
      </c>
      <c r="J2" s="258"/>
      <c r="K2" s="258"/>
      <c r="L2" s="258" t="s">
        <v>54</v>
      </c>
      <c r="M2" s="258"/>
    </row>
    <row r="3" spans="1:14" s="27" customFormat="1" ht="40.5" x14ac:dyDescent="0.3">
      <c r="A3" s="43" t="s">
        <v>45</v>
      </c>
      <c r="B3" s="65" t="s">
        <v>46</v>
      </c>
      <c r="C3" s="66" t="s">
        <v>89</v>
      </c>
      <c r="D3" s="67" t="s">
        <v>113</v>
      </c>
      <c r="E3" s="40" t="s">
        <v>45</v>
      </c>
      <c r="F3" s="65" t="s">
        <v>46</v>
      </c>
      <c r="G3" s="67" t="s">
        <v>114</v>
      </c>
      <c r="I3" s="124" t="s">
        <v>49</v>
      </c>
      <c r="J3" s="124" t="s">
        <v>60</v>
      </c>
      <c r="K3" s="124" t="s">
        <v>61</v>
      </c>
      <c r="L3" s="125" t="s">
        <v>52</v>
      </c>
      <c r="M3" s="124" t="s">
        <v>53</v>
      </c>
    </row>
    <row r="4" spans="1:14" ht="15" customHeight="1" x14ac:dyDescent="0.3">
      <c r="A4" s="37">
        <v>37.5</v>
      </c>
      <c r="B4" s="71">
        <f>PARAMETROS!B7</f>
        <v>1484.0286416666668</v>
      </c>
      <c r="C4" s="72"/>
      <c r="D4" s="71"/>
      <c r="E4" s="37">
        <v>37.5</v>
      </c>
      <c r="F4" s="71">
        <f>PARAMETROS!C7</f>
        <v>1929.237595833333</v>
      </c>
      <c r="G4" s="71">
        <f>IF(F4&gt;$K$4,$K$4*$K$18%,F4*$K$18%)</f>
        <v>640.12103429749982</v>
      </c>
      <c r="I4" s="259">
        <v>2</v>
      </c>
      <c r="J4" s="271">
        <v>1532.1</v>
      </c>
      <c r="K4" s="272">
        <v>4720.5</v>
      </c>
      <c r="L4" s="273">
        <v>1323</v>
      </c>
      <c r="M4" s="272">
        <v>4720.5</v>
      </c>
      <c r="N4" s="8"/>
    </row>
    <row r="5" spans="1:14" x14ac:dyDescent="0.3">
      <c r="A5" s="38">
        <v>36</v>
      </c>
      <c r="B5" s="73">
        <f>PRODUCT(B$4,A5)/A$4</f>
        <v>1424.6674960000003</v>
      </c>
      <c r="C5" s="74">
        <f t="shared" ref="C5:C40" si="0">(A5/$A$4*7.5*5)/7*30*$C$43</f>
        <v>1424.0571428571432</v>
      </c>
      <c r="D5" s="73">
        <f>IF(B5&lt;C5,C5*$K$18%,B5*$K$18%)</f>
        <v>472.70467517280008</v>
      </c>
      <c r="E5" s="38">
        <v>36</v>
      </c>
      <c r="F5" s="73">
        <f>PRODUCT(F$4,E5)/E$4</f>
        <v>1852.0680919999998</v>
      </c>
      <c r="G5" s="73">
        <f t="shared" ref="G5:G40" si="1">IF(F5&gt;$K$4,$K$4*$K$18%,F5*$K$18%)</f>
        <v>614.51619292559985</v>
      </c>
      <c r="I5" s="259"/>
      <c r="J5" s="271"/>
      <c r="K5" s="272"/>
      <c r="L5" s="273"/>
      <c r="M5" s="272"/>
      <c r="N5" s="8"/>
    </row>
    <row r="6" spans="1:14" x14ac:dyDescent="0.3">
      <c r="A6" s="38">
        <v>35</v>
      </c>
      <c r="B6" s="73">
        <f t="shared" ref="B6:B40" si="2">PRODUCT(B$4,A6)/A$4</f>
        <v>1385.0933988888889</v>
      </c>
      <c r="C6" s="74">
        <f t="shared" si="0"/>
        <v>1384.5</v>
      </c>
      <c r="D6" s="73">
        <f t="shared" ref="D6:D40" si="3">IF(B6&lt;C6,C6*$K$18%,B6*$K$18%)</f>
        <v>459.57398975133333</v>
      </c>
      <c r="E6" s="38">
        <v>35</v>
      </c>
      <c r="F6" s="73">
        <f t="shared" ref="F6:F40" si="4">PRODUCT(F$4,E6)/E$4</f>
        <v>1800.6217561111107</v>
      </c>
      <c r="G6" s="73">
        <f t="shared" si="1"/>
        <v>597.4462986776665</v>
      </c>
      <c r="I6" s="35"/>
      <c r="J6" s="8"/>
      <c r="K6" s="8"/>
      <c r="L6" s="115"/>
      <c r="M6" s="8"/>
      <c r="N6" s="8"/>
    </row>
    <row r="7" spans="1:14" ht="14.5" thickBot="1" x14ac:dyDescent="0.35">
      <c r="A7" s="38">
        <v>34</v>
      </c>
      <c r="B7" s="73">
        <f t="shared" si="2"/>
        <v>1345.5193017777779</v>
      </c>
      <c r="C7" s="74">
        <f t="shared" si="0"/>
        <v>1344.9428571428571</v>
      </c>
      <c r="D7" s="73">
        <f t="shared" si="3"/>
        <v>446.44330432986669</v>
      </c>
      <c r="E7" s="38">
        <v>34</v>
      </c>
      <c r="F7" s="73">
        <f t="shared" si="4"/>
        <v>1749.1754202222219</v>
      </c>
      <c r="G7" s="73">
        <f t="shared" si="1"/>
        <v>580.37640442973316</v>
      </c>
      <c r="I7" s="35"/>
      <c r="J7" s="19"/>
      <c r="K7" s="8"/>
      <c r="L7" s="115"/>
      <c r="M7" s="8"/>
      <c r="N7" s="8"/>
    </row>
    <row r="8" spans="1:14" x14ac:dyDescent="0.3">
      <c r="A8" s="38">
        <v>33</v>
      </c>
      <c r="B8" s="73">
        <f t="shared" si="2"/>
        <v>1305.9452046666668</v>
      </c>
      <c r="C8" s="74">
        <f t="shared" si="0"/>
        <v>1305.3857142857146</v>
      </c>
      <c r="D8" s="73">
        <f t="shared" si="3"/>
        <v>433.3126189084</v>
      </c>
      <c r="E8" s="38">
        <v>33</v>
      </c>
      <c r="F8" s="73">
        <f t="shared" si="4"/>
        <v>1697.729084333333</v>
      </c>
      <c r="G8" s="73">
        <f t="shared" si="1"/>
        <v>563.30651018179992</v>
      </c>
      <c r="I8" s="234" t="s">
        <v>87</v>
      </c>
      <c r="J8" s="234"/>
      <c r="K8" s="235"/>
      <c r="L8" s="238">
        <v>0</v>
      </c>
      <c r="M8" s="8"/>
      <c r="N8" s="8"/>
    </row>
    <row r="9" spans="1:14" ht="14.5" thickBot="1" x14ac:dyDescent="0.35">
      <c r="A9" s="38">
        <v>32</v>
      </c>
      <c r="B9" s="73">
        <f t="shared" si="2"/>
        <v>1266.3711075555557</v>
      </c>
      <c r="C9" s="74">
        <f t="shared" si="0"/>
        <v>1265.8285714285714</v>
      </c>
      <c r="D9" s="73">
        <f t="shared" si="3"/>
        <v>420.18193348693336</v>
      </c>
      <c r="E9" s="38">
        <v>32</v>
      </c>
      <c r="F9" s="73">
        <f t="shared" si="4"/>
        <v>1646.2827484444442</v>
      </c>
      <c r="G9" s="73">
        <f t="shared" si="1"/>
        <v>546.23661593386657</v>
      </c>
      <c r="I9" s="234"/>
      <c r="J9" s="234"/>
      <c r="K9" s="235"/>
      <c r="L9" s="239"/>
      <c r="M9" s="8"/>
      <c r="N9" s="8"/>
    </row>
    <row r="10" spans="1:14" ht="14.5" thickBot="1" x14ac:dyDescent="0.35">
      <c r="A10" s="38">
        <v>31</v>
      </c>
      <c r="B10" s="73">
        <f t="shared" si="2"/>
        <v>1226.7970104444446</v>
      </c>
      <c r="C10" s="74">
        <f t="shared" si="0"/>
        <v>1226.2714285714287</v>
      </c>
      <c r="D10" s="73">
        <f t="shared" si="3"/>
        <v>407.05124806546672</v>
      </c>
      <c r="E10" s="38">
        <v>31</v>
      </c>
      <c r="F10" s="73">
        <f t="shared" si="4"/>
        <v>1594.8364125555552</v>
      </c>
      <c r="G10" s="73">
        <f t="shared" si="1"/>
        <v>529.16672168593323</v>
      </c>
      <c r="I10" s="120"/>
      <c r="J10" s="121"/>
      <c r="K10" s="122"/>
      <c r="L10" s="123"/>
      <c r="M10" s="8"/>
      <c r="N10" s="8"/>
    </row>
    <row r="11" spans="1:14" x14ac:dyDescent="0.3">
      <c r="A11" s="38">
        <v>30</v>
      </c>
      <c r="B11" s="73">
        <f t="shared" si="2"/>
        <v>1187.2229133333333</v>
      </c>
      <c r="C11" s="74">
        <f t="shared" si="0"/>
        <v>1186.7142857142856</v>
      </c>
      <c r="D11" s="73">
        <f t="shared" si="3"/>
        <v>393.92056264399997</v>
      </c>
      <c r="E11" s="38">
        <v>30</v>
      </c>
      <c r="F11" s="73">
        <f t="shared" si="4"/>
        <v>1543.3900766666663</v>
      </c>
      <c r="G11" s="73">
        <f t="shared" si="1"/>
        <v>512.09682743799988</v>
      </c>
      <c r="I11" s="240" t="s">
        <v>62</v>
      </c>
      <c r="J11" s="241"/>
      <c r="K11" s="241"/>
      <c r="L11" s="242"/>
      <c r="M11" s="8"/>
      <c r="N11" s="8"/>
    </row>
    <row r="12" spans="1:14" ht="14.5" thickBot="1" x14ac:dyDescent="0.35">
      <c r="A12" s="38">
        <v>29</v>
      </c>
      <c r="B12" s="73">
        <f t="shared" si="2"/>
        <v>1147.6488162222224</v>
      </c>
      <c r="C12" s="74">
        <f t="shared" si="0"/>
        <v>1147.1571428571431</v>
      </c>
      <c r="D12" s="73">
        <f t="shared" si="3"/>
        <v>380.78987722253339</v>
      </c>
      <c r="E12" s="38">
        <v>29</v>
      </c>
      <c r="F12" s="73">
        <f t="shared" si="4"/>
        <v>1491.9437407777775</v>
      </c>
      <c r="G12" s="73">
        <f t="shared" si="1"/>
        <v>495.02693319006653</v>
      </c>
      <c r="I12" s="243"/>
      <c r="J12" s="244"/>
      <c r="K12" s="244"/>
      <c r="L12" s="245"/>
      <c r="M12" s="8"/>
      <c r="N12" s="8"/>
    </row>
    <row r="13" spans="1:14" ht="14.5" thickBot="1" x14ac:dyDescent="0.35">
      <c r="A13" s="38">
        <v>28</v>
      </c>
      <c r="B13" s="73">
        <f t="shared" si="2"/>
        <v>1108.0747191111111</v>
      </c>
      <c r="C13" s="74">
        <f t="shared" si="0"/>
        <v>1107.6000000000004</v>
      </c>
      <c r="D13" s="73">
        <f t="shared" si="3"/>
        <v>367.65919180106664</v>
      </c>
      <c r="E13" s="38">
        <v>28</v>
      </c>
      <c r="F13" s="73">
        <f t="shared" si="4"/>
        <v>1440.4974048888887</v>
      </c>
      <c r="G13" s="73">
        <f t="shared" si="1"/>
        <v>477.95703894213324</v>
      </c>
      <c r="I13" s="117"/>
      <c r="J13" s="118" t="s">
        <v>55</v>
      </c>
      <c r="K13" s="133" t="s">
        <v>56</v>
      </c>
      <c r="L13" s="119" t="s">
        <v>57</v>
      </c>
      <c r="M13" s="8"/>
      <c r="N13" s="8"/>
    </row>
    <row r="14" spans="1:14" x14ac:dyDescent="0.3">
      <c r="A14" s="38">
        <v>27</v>
      </c>
      <c r="B14" s="73">
        <f t="shared" si="2"/>
        <v>1068.500622</v>
      </c>
      <c r="C14" s="74">
        <f t="shared" si="0"/>
        <v>1068.0428571428572</v>
      </c>
      <c r="D14" s="73">
        <f t="shared" si="3"/>
        <v>354.5285063796</v>
      </c>
      <c r="E14" s="38">
        <v>27</v>
      </c>
      <c r="F14" s="73">
        <f t="shared" si="4"/>
        <v>1389.0510689999996</v>
      </c>
      <c r="G14" s="73">
        <f t="shared" si="1"/>
        <v>460.88714469419983</v>
      </c>
      <c r="I14" s="268" t="s">
        <v>58</v>
      </c>
      <c r="J14" s="246">
        <f>IF(L8&gt;=J4,L8,J4)</f>
        <v>1532.1</v>
      </c>
      <c r="K14" s="248">
        <v>24.18</v>
      </c>
      <c r="L14" s="253">
        <f>J14*K14%</f>
        <v>370.46177999999998</v>
      </c>
      <c r="M14" s="8"/>
      <c r="N14" s="8"/>
    </row>
    <row r="15" spans="1:14" ht="14.5" thickBot="1" x14ac:dyDescent="0.35">
      <c r="A15" s="38">
        <v>26</v>
      </c>
      <c r="B15" s="73">
        <f t="shared" si="2"/>
        <v>1028.9265248888889</v>
      </c>
      <c r="C15" s="74">
        <f t="shared" si="0"/>
        <v>1028.4857142857143</v>
      </c>
      <c r="D15" s="73">
        <f t="shared" si="3"/>
        <v>341.39782095813331</v>
      </c>
      <c r="E15" s="38">
        <v>26</v>
      </c>
      <c r="F15" s="73">
        <f t="shared" si="4"/>
        <v>1337.6047331111108</v>
      </c>
      <c r="G15" s="73">
        <f t="shared" si="1"/>
        <v>443.81725044626654</v>
      </c>
      <c r="I15" s="269"/>
      <c r="J15" s="247"/>
      <c r="K15" s="249"/>
      <c r="L15" s="254"/>
      <c r="M15" s="8"/>
      <c r="N15" s="8"/>
    </row>
    <row r="16" spans="1:14" x14ac:dyDescent="0.3">
      <c r="A16" s="38">
        <v>25</v>
      </c>
      <c r="B16" s="73">
        <f t="shared" si="2"/>
        <v>989.35242777777773</v>
      </c>
      <c r="C16" s="74">
        <f t="shared" si="0"/>
        <v>988.92857142857156</v>
      </c>
      <c r="D16" s="73">
        <f t="shared" si="3"/>
        <v>328.26713553666661</v>
      </c>
      <c r="E16" s="38">
        <v>25</v>
      </c>
      <c r="F16" s="73">
        <f t="shared" si="4"/>
        <v>1286.158397222222</v>
      </c>
      <c r="G16" s="73">
        <f t="shared" si="1"/>
        <v>426.74735619833325</v>
      </c>
      <c r="I16" s="251" t="s">
        <v>59</v>
      </c>
      <c r="J16" s="246">
        <f>IF(L8&gt;=L4,L8,L4)</f>
        <v>1323</v>
      </c>
      <c r="K16" s="248">
        <v>9</v>
      </c>
      <c r="L16" s="232">
        <f>J16*K16%</f>
        <v>119.07</v>
      </c>
      <c r="M16" s="8"/>
      <c r="N16" s="8"/>
    </row>
    <row r="17" spans="1:14" ht="14.5" thickBot="1" x14ac:dyDescent="0.35">
      <c r="A17" s="38">
        <v>24</v>
      </c>
      <c r="B17" s="73">
        <f t="shared" si="2"/>
        <v>949.77833066666676</v>
      </c>
      <c r="C17" s="74">
        <f t="shared" si="0"/>
        <v>949.37142857142851</v>
      </c>
      <c r="D17" s="73">
        <f t="shared" si="3"/>
        <v>315.13645011520003</v>
      </c>
      <c r="E17" s="38">
        <v>24</v>
      </c>
      <c r="F17" s="73">
        <f t="shared" si="4"/>
        <v>1234.7120613333332</v>
      </c>
      <c r="G17" s="73">
        <f t="shared" si="1"/>
        <v>409.6774619503999</v>
      </c>
      <c r="I17" s="252"/>
      <c r="J17" s="247"/>
      <c r="K17" s="249">
        <v>0.2</v>
      </c>
      <c r="L17" s="250"/>
      <c r="M17" s="8"/>
      <c r="N17" s="8"/>
    </row>
    <row r="18" spans="1:14" ht="14.5" thickBot="1" x14ac:dyDescent="0.35">
      <c r="A18" s="38">
        <v>23</v>
      </c>
      <c r="B18" s="73">
        <f t="shared" si="2"/>
        <v>910.20423355555567</v>
      </c>
      <c r="C18" s="74">
        <f t="shared" si="0"/>
        <v>909.81428571428569</v>
      </c>
      <c r="D18" s="73">
        <f t="shared" si="3"/>
        <v>302.00576469373334</v>
      </c>
      <c r="E18" s="38">
        <v>23</v>
      </c>
      <c r="F18" s="73">
        <f t="shared" si="4"/>
        <v>1183.2657254444443</v>
      </c>
      <c r="G18" s="73">
        <f t="shared" si="1"/>
        <v>392.60756770246661</v>
      </c>
      <c r="I18" s="266" t="s">
        <v>63</v>
      </c>
      <c r="J18" s="267"/>
      <c r="K18" s="134">
        <f>(K14+K16)</f>
        <v>33.18</v>
      </c>
      <c r="L18" s="130">
        <f>SUM(L14:L17)</f>
        <v>489.53177999999997</v>
      </c>
      <c r="M18" s="8"/>
      <c r="N18" s="8"/>
    </row>
    <row r="19" spans="1:14" x14ac:dyDescent="0.3">
      <c r="A19" s="38">
        <v>22</v>
      </c>
      <c r="B19" s="73">
        <f t="shared" si="2"/>
        <v>870.63013644444447</v>
      </c>
      <c r="C19" s="74">
        <f t="shared" si="0"/>
        <v>870.25714285714287</v>
      </c>
      <c r="D19" s="73">
        <f t="shared" si="3"/>
        <v>288.87507927226665</v>
      </c>
      <c r="E19" s="38">
        <v>22</v>
      </c>
      <c r="F19" s="73">
        <f t="shared" si="4"/>
        <v>1131.8193895555553</v>
      </c>
      <c r="G19" s="73">
        <f t="shared" si="1"/>
        <v>375.53767345453321</v>
      </c>
      <c r="I19" s="126"/>
      <c r="J19" s="127"/>
      <c r="K19" s="128"/>
      <c r="L19" s="129"/>
      <c r="M19" s="8"/>
      <c r="N19" s="8"/>
    </row>
    <row r="20" spans="1:14" ht="14.25" customHeight="1" x14ac:dyDescent="0.3">
      <c r="A20" s="38">
        <v>21</v>
      </c>
      <c r="B20" s="73">
        <f t="shared" si="2"/>
        <v>831.05603933333339</v>
      </c>
      <c r="C20" s="74">
        <f t="shared" si="0"/>
        <v>830.7</v>
      </c>
      <c r="D20" s="73">
        <f t="shared" si="3"/>
        <v>275.74439385080001</v>
      </c>
      <c r="E20" s="38">
        <v>21</v>
      </c>
      <c r="F20" s="73">
        <f t="shared" si="4"/>
        <v>1080.3730536666665</v>
      </c>
      <c r="G20" s="73">
        <f t="shared" si="1"/>
        <v>358.46777920659991</v>
      </c>
      <c r="I20" s="255" t="s">
        <v>77</v>
      </c>
      <c r="J20" s="255"/>
      <c r="K20" s="255"/>
      <c r="L20" s="255"/>
      <c r="M20" s="255"/>
      <c r="N20" s="147"/>
    </row>
    <row r="21" spans="1:14" x14ac:dyDescent="0.3">
      <c r="A21" s="38">
        <v>20</v>
      </c>
      <c r="B21" s="73">
        <f t="shared" si="2"/>
        <v>791.4819422222223</v>
      </c>
      <c r="C21" s="74">
        <f t="shared" si="0"/>
        <v>791.14285714285722</v>
      </c>
      <c r="D21" s="73">
        <f t="shared" si="3"/>
        <v>262.61370842933337</v>
      </c>
      <c r="E21" s="38">
        <v>20</v>
      </c>
      <c r="F21" s="73">
        <f t="shared" si="4"/>
        <v>1028.9267177777776</v>
      </c>
      <c r="G21" s="73">
        <f t="shared" si="1"/>
        <v>341.39788495866662</v>
      </c>
      <c r="I21" s="255"/>
      <c r="J21" s="255"/>
      <c r="K21" s="255"/>
      <c r="L21" s="255"/>
      <c r="M21" s="255"/>
      <c r="N21" s="147"/>
    </row>
    <row r="22" spans="1:14" ht="14.5" thickBot="1" x14ac:dyDescent="0.35">
      <c r="A22" s="38">
        <v>19</v>
      </c>
      <c r="B22" s="73">
        <f t="shared" si="2"/>
        <v>751.9078451111111</v>
      </c>
      <c r="C22" s="74">
        <f t="shared" si="0"/>
        <v>751.58571428571429</v>
      </c>
      <c r="D22" s="73">
        <f t="shared" si="3"/>
        <v>249.48302300786665</v>
      </c>
      <c r="E22" s="38">
        <v>19</v>
      </c>
      <c r="F22" s="73">
        <f t="shared" si="4"/>
        <v>977.4803818888887</v>
      </c>
      <c r="G22" s="73">
        <f t="shared" si="1"/>
        <v>324.32799071073327</v>
      </c>
      <c r="I22" s="35"/>
      <c r="J22" s="19"/>
      <c r="K22" s="8"/>
      <c r="L22" s="115"/>
      <c r="M22" s="8"/>
      <c r="N22" s="8"/>
    </row>
    <row r="23" spans="1:14" x14ac:dyDescent="0.3">
      <c r="A23" s="38">
        <v>18</v>
      </c>
      <c r="B23" s="73">
        <f t="shared" si="2"/>
        <v>712.33374800000013</v>
      </c>
      <c r="C23" s="74">
        <f t="shared" si="0"/>
        <v>712.02857142857158</v>
      </c>
      <c r="D23" s="73">
        <f t="shared" si="3"/>
        <v>236.35233758640004</v>
      </c>
      <c r="E23" s="38">
        <v>18</v>
      </c>
      <c r="F23" s="73">
        <f t="shared" si="4"/>
        <v>926.03404599999988</v>
      </c>
      <c r="G23" s="73">
        <f t="shared" si="1"/>
        <v>307.25809646279993</v>
      </c>
      <c r="I23" s="234" t="s">
        <v>64</v>
      </c>
      <c r="J23" s="234"/>
      <c r="K23" s="235"/>
      <c r="L23" s="304">
        <v>0</v>
      </c>
      <c r="M23" s="8"/>
      <c r="N23" s="8"/>
    </row>
    <row r="24" spans="1:14" ht="14.5" thickBot="1" x14ac:dyDescent="0.35">
      <c r="A24" s="38">
        <v>17</v>
      </c>
      <c r="B24" s="73">
        <f t="shared" si="2"/>
        <v>672.75965088888893</v>
      </c>
      <c r="C24" s="74">
        <f t="shared" si="0"/>
        <v>672.47142857142853</v>
      </c>
      <c r="D24" s="73">
        <f t="shared" si="3"/>
        <v>223.22165216493335</v>
      </c>
      <c r="E24" s="38">
        <v>17</v>
      </c>
      <c r="F24" s="73">
        <f t="shared" si="4"/>
        <v>874.58771011111094</v>
      </c>
      <c r="G24" s="73">
        <f t="shared" si="1"/>
        <v>290.18820221486658</v>
      </c>
      <c r="I24" s="234"/>
      <c r="J24" s="234"/>
      <c r="K24" s="235"/>
      <c r="L24" s="305"/>
      <c r="M24" s="8"/>
      <c r="N24" s="8"/>
    </row>
    <row r="25" spans="1:14" ht="14.5" thickBot="1" x14ac:dyDescent="0.35">
      <c r="A25" s="38">
        <v>16</v>
      </c>
      <c r="B25" s="73">
        <f t="shared" si="2"/>
        <v>633.18555377777784</v>
      </c>
      <c r="C25" s="74">
        <f t="shared" si="0"/>
        <v>632.91428571428571</v>
      </c>
      <c r="D25" s="73">
        <f t="shared" si="3"/>
        <v>210.09096674346668</v>
      </c>
      <c r="E25" s="38">
        <v>16</v>
      </c>
      <c r="F25" s="73">
        <f t="shared" si="4"/>
        <v>823.14137422222211</v>
      </c>
      <c r="G25" s="73">
        <f t="shared" si="1"/>
        <v>273.11830796693329</v>
      </c>
      <c r="I25" s="35"/>
      <c r="J25" s="19"/>
      <c r="K25" s="8"/>
      <c r="L25" s="115"/>
      <c r="M25" s="8"/>
      <c r="N25" s="8"/>
    </row>
    <row r="26" spans="1:14" x14ac:dyDescent="0.3">
      <c r="A26" s="38">
        <v>15</v>
      </c>
      <c r="B26" s="73">
        <f t="shared" si="2"/>
        <v>593.61145666666664</v>
      </c>
      <c r="C26" s="74">
        <f t="shared" si="0"/>
        <v>593.35714285714278</v>
      </c>
      <c r="D26" s="73">
        <f t="shared" si="3"/>
        <v>196.96028132199999</v>
      </c>
      <c r="E26" s="38">
        <v>15</v>
      </c>
      <c r="F26" s="73">
        <f t="shared" si="4"/>
        <v>771.69503833333317</v>
      </c>
      <c r="G26" s="73">
        <f t="shared" si="1"/>
        <v>256.04841371899994</v>
      </c>
      <c r="I26" s="234" t="s">
        <v>68</v>
      </c>
      <c r="J26" s="234"/>
      <c r="K26" s="235"/>
      <c r="L26" s="238">
        <v>0</v>
      </c>
      <c r="M26" s="8"/>
      <c r="N26" s="8"/>
    </row>
    <row r="27" spans="1:14" ht="14.5" thickBot="1" x14ac:dyDescent="0.35">
      <c r="A27" s="38">
        <v>14</v>
      </c>
      <c r="B27" s="73">
        <f t="shared" si="2"/>
        <v>554.03735955555555</v>
      </c>
      <c r="C27" s="74">
        <f t="shared" si="0"/>
        <v>553.80000000000018</v>
      </c>
      <c r="D27" s="73">
        <f t="shared" si="3"/>
        <v>183.82959590053332</v>
      </c>
      <c r="E27" s="38">
        <v>14</v>
      </c>
      <c r="F27" s="73">
        <f t="shared" si="4"/>
        <v>720.24870244444435</v>
      </c>
      <c r="G27" s="73">
        <f t="shared" si="1"/>
        <v>238.97851947106662</v>
      </c>
      <c r="I27" s="234"/>
      <c r="J27" s="234"/>
      <c r="K27" s="235"/>
      <c r="L27" s="239"/>
      <c r="M27" s="8"/>
      <c r="N27" s="8"/>
    </row>
    <row r="28" spans="1:14" ht="14.5" thickBot="1" x14ac:dyDescent="0.35">
      <c r="A28" s="38">
        <v>13</v>
      </c>
      <c r="B28" s="73">
        <f t="shared" si="2"/>
        <v>514.46326244444447</v>
      </c>
      <c r="C28" s="74">
        <f t="shared" si="0"/>
        <v>514.24285714285713</v>
      </c>
      <c r="D28" s="73">
        <f t="shared" si="3"/>
        <v>170.69891047906665</v>
      </c>
      <c r="E28" s="38">
        <v>13</v>
      </c>
      <c r="F28" s="73">
        <f t="shared" si="4"/>
        <v>668.80236655555541</v>
      </c>
      <c r="G28" s="73">
        <f t="shared" si="1"/>
        <v>221.90862522313327</v>
      </c>
      <c r="I28" s="35"/>
      <c r="J28" s="19"/>
      <c r="K28" s="8"/>
      <c r="L28" s="115"/>
      <c r="M28" s="8"/>
      <c r="N28" s="8"/>
    </row>
    <row r="29" spans="1:14" x14ac:dyDescent="0.3">
      <c r="A29" s="38">
        <v>12</v>
      </c>
      <c r="B29" s="73">
        <f t="shared" si="2"/>
        <v>474.88916533333338</v>
      </c>
      <c r="C29" s="74">
        <f t="shared" si="0"/>
        <v>474.68571428571425</v>
      </c>
      <c r="D29" s="73">
        <f t="shared" si="3"/>
        <v>157.56822505760002</v>
      </c>
      <c r="E29" s="38">
        <v>12</v>
      </c>
      <c r="F29" s="73">
        <f t="shared" si="4"/>
        <v>617.35603066666658</v>
      </c>
      <c r="G29" s="73">
        <f t="shared" si="1"/>
        <v>204.83873097519995</v>
      </c>
      <c r="I29" s="240" t="s">
        <v>65</v>
      </c>
      <c r="J29" s="241"/>
      <c r="K29" s="241"/>
      <c r="L29" s="242"/>
      <c r="M29" s="8"/>
      <c r="N29" s="8"/>
    </row>
    <row r="30" spans="1:14" ht="14.5" thickBot="1" x14ac:dyDescent="0.35">
      <c r="A30" s="38">
        <v>11</v>
      </c>
      <c r="B30" s="73">
        <f t="shared" si="2"/>
        <v>435.31506822222224</v>
      </c>
      <c r="C30" s="74">
        <f t="shared" si="0"/>
        <v>435.12857142857143</v>
      </c>
      <c r="D30" s="73">
        <f t="shared" si="3"/>
        <v>144.43753963613332</v>
      </c>
      <c r="E30" s="38">
        <v>11</v>
      </c>
      <c r="F30" s="73">
        <f t="shared" si="4"/>
        <v>565.90969477777764</v>
      </c>
      <c r="G30" s="73">
        <f t="shared" si="1"/>
        <v>187.7688367272666</v>
      </c>
      <c r="I30" s="243"/>
      <c r="J30" s="244"/>
      <c r="K30" s="244"/>
      <c r="L30" s="245"/>
      <c r="M30" s="8"/>
      <c r="N30" s="8"/>
    </row>
    <row r="31" spans="1:14" ht="14.5" thickBot="1" x14ac:dyDescent="0.35">
      <c r="A31" s="38">
        <v>10</v>
      </c>
      <c r="B31" s="73">
        <f t="shared" si="2"/>
        <v>395.74097111111115</v>
      </c>
      <c r="C31" s="74">
        <f t="shared" si="0"/>
        <v>395.57142857142861</v>
      </c>
      <c r="D31" s="73">
        <f t="shared" si="3"/>
        <v>131.30685421466669</v>
      </c>
      <c r="E31" s="38">
        <v>10</v>
      </c>
      <c r="F31" s="73">
        <f t="shared" si="4"/>
        <v>514.46335888888882</v>
      </c>
      <c r="G31" s="73">
        <f t="shared" si="1"/>
        <v>170.69894247933331</v>
      </c>
      <c r="I31" s="137" t="s">
        <v>69</v>
      </c>
      <c r="J31" s="135" t="s">
        <v>55</v>
      </c>
      <c r="K31" s="133" t="s">
        <v>70</v>
      </c>
      <c r="L31" s="119" t="s">
        <v>57</v>
      </c>
      <c r="M31" s="8"/>
      <c r="N31" s="8"/>
    </row>
    <row r="32" spans="1:14" x14ac:dyDescent="0.3">
      <c r="A32" s="38">
        <v>9</v>
      </c>
      <c r="B32" s="73">
        <f t="shared" si="2"/>
        <v>356.16687400000006</v>
      </c>
      <c r="C32" s="74">
        <f t="shared" si="0"/>
        <v>356.01428571428579</v>
      </c>
      <c r="D32" s="73">
        <f t="shared" si="3"/>
        <v>118.17616879320002</v>
      </c>
      <c r="E32" s="38">
        <v>9</v>
      </c>
      <c r="F32" s="73">
        <f t="shared" si="4"/>
        <v>463.01702299999994</v>
      </c>
      <c r="G32" s="73">
        <f t="shared" si="1"/>
        <v>153.62904823139996</v>
      </c>
      <c r="I32" s="226">
        <f>((L23/37.5*7.5*5)/7)*30*$C$43</f>
        <v>0</v>
      </c>
      <c r="J32" s="228">
        <f>IF(L26&lt;I32,I32,L26)</f>
        <v>0</v>
      </c>
      <c r="K32" s="230">
        <v>33.18</v>
      </c>
      <c r="L32" s="232">
        <f>J32*K32%</f>
        <v>0</v>
      </c>
      <c r="M32" s="8"/>
      <c r="N32" s="8"/>
    </row>
    <row r="33" spans="1:14" ht="14.5" thickBot="1" x14ac:dyDescent="0.35">
      <c r="A33" s="38">
        <v>8</v>
      </c>
      <c r="B33" s="73">
        <f t="shared" si="2"/>
        <v>316.59277688888892</v>
      </c>
      <c r="C33" s="74">
        <f t="shared" si="0"/>
        <v>316.45714285714286</v>
      </c>
      <c r="D33" s="73">
        <f t="shared" si="3"/>
        <v>105.04548337173334</v>
      </c>
      <c r="E33" s="38">
        <v>8</v>
      </c>
      <c r="F33" s="73">
        <f t="shared" si="4"/>
        <v>411.57068711111106</v>
      </c>
      <c r="G33" s="73">
        <f t="shared" si="1"/>
        <v>136.55915398346664</v>
      </c>
      <c r="I33" s="227"/>
      <c r="J33" s="229"/>
      <c r="K33" s="231"/>
      <c r="L33" s="233"/>
      <c r="M33" s="8"/>
      <c r="N33" s="8"/>
    </row>
    <row r="34" spans="1:14" ht="14.5" thickBot="1" x14ac:dyDescent="0.35">
      <c r="A34" s="38">
        <v>7</v>
      </c>
      <c r="B34" s="73">
        <f t="shared" si="2"/>
        <v>277.01867977777778</v>
      </c>
      <c r="C34" s="74">
        <f t="shared" si="0"/>
        <v>276.90000000000009</v>
      </c>
      <c r="D34" s="73">
        <f t="shared" si="3"/>
        <v>91.91479795026666</v>
      </c>
      <c r="E34" s="38">
        <v>7</v>
      </c>
      <c r="F34" s="73">
        <f t="shared" si="4"/>
        <v>360.12435122222217</v>
      </c>
      <c r="G34" s="73">
        <f t="shared" si="1"/>
        <v>119.48925973553331</v>
      </c>
      <c r="I34" s="221" t="s">
        <v>66</v>
      </c>
      <c r="J34" s="222"/>
      <c r="K34" s="223"/>
      <c r="L34" s="130">
        <f>SUM(L32)</f>
        <v>0</v>
      </c>
      <c r="M34" s="8"/>
      <c r="N34" s="8"/>
    </row>
    <row r="35" spans="1:14" x14ac:dyDescent="0.3">
      <c r="A35" s="38">
        <v>6</v>
      </c>
      <c r="B35" s="73">
        <f t="shared" si="2"/>
        <v>237.44458266666669</v>
      </c>
      <c r="C35" s="74">
        <f t="shared" si="0"/>
        <v>237.34285714285713</v>
      </c>
      <c r="D35" s="73">
        <f t="shared" si="3"/>
        <v>78.784112528800009</v>
      </c>
      <c r="E35" s="38">
        <v>6</v>
      </c>
      <c r="F35" s="73">
        <f t="shared" si="4"/>
        <v>308.67801533333329</v>
      </c>
      <c r="G35" s="73">
        <f t="shared" si="1"/>
        <v>102.41936548759998</v>
      </c>
      <c r="I35" s="35"/>
      <c r="J35" s="19"/>
      <c r="K35" s="8"/>
      <c r="L35" s="115"/>
      <c r="M35" s="8"/>
      <c r="N35" s="136"/>
    </row>
    <row r="36" spans="1:14" x14ac:dyDescent="0.3">
      <c r="A36" s="38">
        <v>5</v>
      </c>
      <c r="B36" s="73">
        <f t="shared" si="2"/>
        <v>197.87048555555558</v>
      </c>
      <c r="C36" s="74">
        <f t="shared" si="0"/>
        <v>197.78571428571431</v>
      </c>
      <c r="D36" s="73">
        <f t="shared" si="3"/>
        <v>65.653427107333343</v>
      </c>
      <c r="E36" s="38">
        <v>5</v>
      </c>
      <c r="F36" s="73">
        <f t="shared" si="4"/>
        <v>257.23167944444441</v>
      </c>
      <c r="G36" s="73">
        <f t="shared" si="1"/>
        <v>85.349471239666656</v>
      </c>
      <c r="I36" s="224" t="s">
        <v>67</v>
      </c>
      <c r="J36" s="224"/>
      <c r="K36" s="224"/>
      <c r="L36" s="224"/>
      <c r="M36" s="225" t="s">
        <v>101</v>
      </c>
      <c r="N36" s="136"/>
    </row>
    <row r="37" spans="1:14" x14ac:dyDescent="0.3">
      <c r="A37" s="38">
        <v>4</v>
      </c>
      <c r="B37" s="73">
        <f t="shared" si="2"/>
        <v>158.29638844444446</v>
      </c>
      <c r="C37" s="74">
        <f t="shared" si="0"/>
        <v>158.22857142857143</v>
      </c>
      <c r="D37" s="73">
        <f t="shared" si="3"/>
        <v>52.52274168586667</v>
      </c>
      <c r="E37" s="38">
        <v>4</v>
      </c>
      <c r="F37" s="73">
        <f t="shared" si="4"/>
        <v>205.78534355555553</v>
      </c>
      <c r="G37" s="73">
        <f t="shared" si="1"/>
        <v>68.279576991733322</v>
      </c>
      <c r="I37" s="224"/>
      <c r="J37" s="224"/>
      <c r="K37" s="224"/>
      <c r="L37" s="224"/>
      <c r="M37" s="225"/>
      <c r="N37" s="136"/>
    </row>
    <row r="38" spans="1:14" x14ac:dyDescent="0.3">
      <c r="A38" s="38">
        <v>3</v>
      </c>
      <c r="B38" s="73">
        <f t="shared" si="2"/>
        <v>118.72229133333335</v>
      </c>
      <c r="C38" s="74">
        <f t="shared" si="0"/>
        <v>118.67142857142856</v>
      </c>
      <c r="D38" s="73">
        <f t="shared" si="3"/>
        <v>39.392056264400004</v>
      </c>
      <c r="E38" s="38">
        <v>3</v>
      </c>
      <c r="F38" s="73">
        <f t="shared" si="4"/>
        <v>154.33900766666665</v>
      </c>
      <c r="G38" s="73">
        <f t="shared" si="1"/>
        <v>51.209682743799988</v>
      </c>
      <c r="I38" s="5"/>
    </row>
    <row r="39" spans="1:14" x14ac:dyDescent="0.3">
      <c r="A39" s="38">
        <v>2</v>
      </c>
      <c r="B39" s="73">
        <f t="shared" si="2"/>
        <v>79.14819422222223</v>
      </c>
      <c r="C39" s="74">
        <f t="shared" si="0"/>
        <v>79.114285714285714</v>
      </c>
      <c r="D39" s="73">
        <f t="shared" si="3"/>
        <v>26.261370842933335</v>
      </c>
      <c r="E39" s="38">
        <v>2</v>
      </c>
      <c r="F39" s="73">
        <f t="shared" si="4"/>
        <v>102.89267177777776</v>
      </c>
      <c r="G39" s="73">
        <f t="shared" si="1"/>
        <v>34.139788495866661</v>
      </c>
      <c r="I39" s="5"/>
    </row>
    <row r="40" spans="1:14" x14ac:dyDescent="0.3">
      <c r="A40" s="39">
        <v>1</v>
      </c>
      <c r="B40" s="75">
        <f t="shared" si="2"/>
        <v>39.574097111111115</v>
      </c>
      <c r="C40" s="76">
        <f t="shared" si="0"/>
        <v>39.557142857142857</v>
      </c>
      <c r="D40" s="75">
        <f t="shared" si="3"/>
        <v>13.130685421466668</v>
      </c>
      <c r="E40" s="39">
        <v>1</v>
      </c>
      <c r="F40" s="75">
        <f t="shared" si="4"/>
        <v>51.446335888888882</v>
      </c>
      <c r="G40" s="75">
        <f t="shared" si="1"/>
        <v>17.06989424793333</v>
      </c>
      <c r="I40" s="5"/>
    </row>
    <row r="42" spans="1:14" ht="14.5" hidden="1" thickBot="1" x14ac:dyDescent="0.35">
      <c r="C42" s="211" t="s">
        <v>93</v>
      </c>
    </row>
    <row r="43" spans="1:14" s="21" customFormat="1" ht="41.25" hidden="1" customHeight="1" thickBot="1" x14ac:dyDescent="0.3">
      <c r="A43" s="190"/>
      <c r="B43" s="206" t="s">
        <v>16</v>
      </c>
      <c r="C43" s="207">
        <v>9.23</v>
      </c>
      <c r="D43" s="191"/>
      <c r="E43" s="192"/>
      <c r="F43" s="191"/>
      <c r="G43" s="191"/>
      <c r="I43" s="193"/>
    </row>
    <row r="44" spans="1:14" hidden="1" x14ac:dyDescent="0.3"/>
    <row r="45" spans="1:14" hidden="1" x14ac:dyDescent="0.3"/>
    <row r="46" spans="1:14" hidden="1" x14ac:dyDescent="0.3"/>
    <row r="47" spans="1:14" hidden="1" x14ac:dyDescent="0.3"/>
  </sheetData>
  <sheetProtection algorithmName="SHA-512" hashValue="BrIuZJY9OC+/POx0mfEVR8lSjewyOc75dP/cHfWrKgctjMJzgg+nr+6ZMYO2JyOfFIrA+zeky91lbBGjzBUshQ==" saltValue="psilD6YsJJL1x99ri4s8Kg==" spinCount="100000" sheet="1" objects="1" scenarios="1"/>
  <protectedRanges>
    <protectedRange sqref="M36" name="CALCULO RC"/>
    <protectedRange sqref="L8" name="RET TC_1"/>
    <protectedRange sqref="L23" name="DED_1"/>
    <protectedRange sqref="L26" name="RET TP_2"/>
  </protectedRanges>
  <mergeCells count="35">
    <mergeCell ref="I34:K34"/>
    <mergeCell ref="I36:L37"/>
    <mergeCell ref="M36:M37"/>
    <mergeCell ref="I20:M21"/>
    <mergeCell ref="I29:L30"/>
    <mergeCell ref="I32:I33"/>
    <mergeCell ref="J32:J33"/>
    <mergeCell ref="K32:K33"/>
    <mergeCell ref="L32:L33"/>
    <mergeCell ref="I23:K24"/>
    <mergeCell ref="L23:L24"/>
    <mergeCell ref="I26:K27"/>
    <mergeCell ref="L26:L27"/>
    <mergeCell ref="I16:I17"/>
    <mergeCell ref="J16:J17"/>
    <mergeCell ref="K16:K17"/>
    <mergeCell ref="L16:L17"/>
    <mergeCell ref="I18:J18"/>
    <mergeCell ref="I8:K9"/>
    <mergeCell ref="L8:L9"/>
    <mergeCell ref="I11:L12"/>
    <mergeCell ref="I14:I15"/>
    <mergeCell ref="J14:J15"/>
    <mergeCell ref="K14:K15"/>
    <mergeCell ref="L14:L15"/>
    <mergeCell ref="I4:I5"/>
    <mergeCell ref="J4:J5"/>
    <mergeCell ref="K4:K5"/>
    <mergeCell ref="L4:L5"/>
    <mergeCell ref="M4:M5"/>
    <mergeCell ref="A1:G1"/>
    <mergeCell ref="B2:D2"/>
    <mergeCell ref="F2:G2"/>
    <mergeCell ref="I2:K2"/>
    <mergeCell ref="L2:M2"/>
  </mergeCells>
  <phoneticPr fontId="0" type="noConversion"/>
  <hyperlinks>
    <hyperlink ref="M36:M37" r:id="rId1" display="CALCULO RC" xr:uid="{00000000-0004-0000-0500-000000000000}"/>
  </hyperlinks>
  <pageMargins left="0.94488188976377963" right="0.94488188976377963" top="0" bottom="0.39370078740157483" header="0" footer="0"/>
  <pageSetup paperSize="9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Q45"/>
  <sheetViews>
    <sheetView topLeftCell="A7" zoomScaleNormal="100" workbookViewId="0">
      <selection activeCell="A41" sqref="A41:XFD45"/>
    </sheetView>
  </sheetViews>
  <sheetFormatPr baseColWidth="10" defaultRowHeight="13" x14ac:dyDescent="0.3"/>
  <cols>
    <col min="1" max="1" width="25.1796875" style="1" bestFit="1" customWidth="1"/>
    <col min="2" max="2" width="33.453125" style="83" customWidth="1"/>
    <col min="3" max="3" width="12.90625" style="84" hidden="1" customWidth="1"/>
    <col min="4" max="4" width="31.1796875" style="83" customWidth="1"/>
    <col min="5" max="5" width="11.453125" style="2" customWidth="1"/>
    <col min="6" max="6" width="21.1796875" style="2" customWidth="1"/>
    <col min="7" max="7" width="26" style="2" customWidth="1"/>
    <col min="8" max="8" width="26.81640625" style="2" customWidth="1"/>
    <col min="9" max="9" width="16.1796875" style="2" bestFit="1" customWidth="1"/>
    <col min="10" max="10" width="15.1796875" style="2" bestFit="1" customWidth="1"/>
    <col min="11" max="173" width="11.453125" style="2"/>
  </cols>
  <sheetData>
    <row r="1" spans="1:173" s="8" customFormat="1" ht="65.25" customHeight="1" x14ac:dyDescent="0.3">
      <c r="A1" s="256" t="s">
        <v>110</v>
      </c>
      <c r="B1" s="256"/>
      <c r="C1" s="256"/>
      <c r="D1" s="256"/>
      <c r="E1" s="17"/>
      <c r="F1" s="17"/>
      <c r="G1" s="17"/>
      <c r="H1" s="20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</row>
    <row r="2" spans="1:173" s="27" customFormat="1" ht="25.5" customHeight="1" x14ac:dyDescent="0.3">
      <c r="A2" s="77" t="s">
        <v>45</v>
      </c>
      <c r="B2" s="81" t="s">
        <v>46</v>
      </c>
      <c r="C2" s="82" t="s">
        <v>90</v>
      </c>
      <c r="D2" s="85" t="s">
        <v>113</v>
      </c>
      <c r="E2" s="80"/>
      <c r="F2" s="306" t="s">
        <v>50</v>
      </c>
      <c r="G2" s="307"/>
      <c r="H2" s="308"/>
      <c r="I2" s="306" t="s">
        <v>54</v>
      </c>
      <c r="J2" s="308"/>
      <c r="K2" s="36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</row>
    <row r="3" spans="1:173" s="78" customFormat="1" ht="15" customHeight="1" x14ac:dyDescent="0.3">
      <c r="A3" s="37">
        <v>37.5</v>
      </c>
      <c r="B3" s="71">
        <f>PARAMETROS!B8</f>
        <v>2416.2473333333332</v>
      </c>
      <c r="C3" s="72"/>
      <c r="D3" s="71">
        <v>749.9</v>
      </c>
      <c r="E3" s="34"/>
      <c r="F3" s="124" t="s">
        <v>49</v>
      </c>
      <c r="G3" s="124" t="s">
        <v>60</v>
      </c>
      <c r="H3" s="124" t="s">
        <v>61</v>
      </c>
      <c r="I3" s="125" t="s">
        <v>52</v>
      </c>
      <c r="J3" s="124" t="s">
        <v>53</v>
      </c>
      <c r="K3" s="27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</row>
    <row r="4" spans="1:173" s="79" customFormat="1" ht="15" customHeight="1" x14ac:dyDescent="0.3">
      <c r="A4" s="38">
        <v>36</v>
      </c>
      <c r="B4" s="73">
        <f>PRODUCT(PARAMETROS!B$8,A4)/A$3</f>
        <v>2319.59744</v>
      </c>
      <c r="C4" s="74">
        <f t="shared" ref="C4:C39" si="0">(A4/$A$3*7.5*5)/7*30*$C$43</f>
        <v>1229.6571428571431</v>
      </c>
      <c r="D4" s="73">
        <f>IF(B4&lt;C4,C4*$H$18%,B4*$H$18%)</f>
        <v>769.64243059199998</v>
      </c>
      <c r="E4" s="34"/>
      <c r="F4" s="309">
        <v>5</v>
      </c>
      <c r="G4" s="260">
        <v>1323</v>
      </c>
      <c r="H4" s="272">
        <v>4720.5</v>
      </c>
      <c r="I4" s="264">
        <v>1323</v>
      </c>
      <c r="J4" s="311">
        <v>4720.5</v>
      </c>
      <c r="K4" s="8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</row>
    <row r="5" spans="1:173" s="79" customFormat="1" ht="15" customHeight="1" x14ac:dyDescent="0.3">
      <c r="A5" s="38">
        <v>35</v>
      </c>
      <c r="B5" s="73">
        <f>PRODUCT(PARAMETROS!B$8,A5)/A$3</f>
        <v>2255.1641777777777</v>
      </c>
      <c r="C5" s="74">
        <f t="shared" si="0"/>
        <v>1195.5</v>
      </c>
      <c r="D5" s="73">
        <f t="shared" ref="D5:D39" si="1">IF(B5&lt;C5,C5*$H$18%,B5*$H$18%)</f>
        <v>748.2634741866666</v>
      </c>
      <c r="E5" s="34"/>
      <c r="F5" s="310"/>
      <c r="G5" s="261"/>
      <c r="H5" s="272"/>
      <c r="I5" s="265"/>
      <c r="J5" s="311"/>
      <c r="K5" s="8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</row>
    <row r="6" spans="1:173" s="79" customFormat="1" ht="15" customHeight="1" x14ac:dyDescent="0.3">
      <c r="A6" s="38">
        <v>34</v>
      </c>
      <c r="B6" s="73">
        <f>PRODUCT(PARAMETROS!B$8,A6)/A$3</f>
        <v>2190.7309155555554</v>
      </c>
      <c r="C6" s="74">
        <f t="shared" si="0"/>
        <v>1161.3428571428569</v>
      </c>
      <c r="D6" s="73">
        <f t="shared" si="1"/>
        <v>726.88451778133322</v>
      </c>
      <c r="E6" s="34"/>
      <c r="F6" s="35"/>
      <c r="G6" s="8"/>
      <c r="H6" s="8"/>
      <c r="I6" s="115"/>
      <c r="J6" s="8"/>
      <c r="K6" s="8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</row>
    <row r="7" spans="1:173" s="79" customFormat="1" ht="15" customHeight="1" thickBot="1" x14ac:dyDescent="0.35">
      <c r="A7" s="38">
        <v>33</v>
      </c>
      <c r="B7" s="73">
        <f>PRODUCT(PARAMETROS!B$8,A7)/A$3</f>
        <v>2126.2976533333331</v>
      </c>
      <c r="C7" s="74">
        <f t="shared" si="0"/>
        <v>1127.1857142857143</v>
      </c>
      <c r="D7" s="73">
        <f t="shared" si="1"/>
        <v>705.50556137599983</v>
      </c>
      <c r="E7" s="34"/>
      <c r="F7" s="35"/>
      <c r="G7" s="19"/>
      <c r="H7" s="8"/>
      <c r="I7" s="115"/>
      <c r="J7" s="8"/>
      <c r="K7" s="8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</row>
    <row r="8" spans="1:173" s="79" customFormat="1" ht="15" customHeight="1" x14ac:dyDescent="0.3">
      <c r="A8" s="38">
        <v>32</v>
      </c>
      <c r="B8" s="73">
        <f>PRODUCT(PARAMETROS!B$8,A8)/A$3</f>
        <v>2061.8643911111112</v>
      </c>
      <c r="C8" s="74">
        <f t="shared" si="0"/>
        <v>1093.0285714285715</v>
      </c>
      <c r="D8" s="73">
        <f t="shared" si="1"/>
        <v>684.12660497066668</v>
      </c>
      <c r="E8" s="34"/>
      <c r="F8" s="234" t="s">
        <v>87</v>
      </c>
      <c r="G8" s="234"/>
      <c r="H8" s="235"/>
      <c r="I8" s="238">
        <v>0</v>
      </c>
      <c r="J8" s="8"/>
      <c r="K8" s="8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</row>
    <row r="9" spans="1:173" s="79" customFormat="1" ht="15" customHeight="1" thickBot="1" x14ac:dyDescent="0.35">
      <c r="A9" s="38">
        <v>31</v>
      </c>
      <c r="B9" s="73">
        <f>PRODUCT(PARAMETROS!B$8,A9)/A$3</f>
        <v>1997.4311288888889</v>
      </c>
      <c r="C9" s="74">
        <f t="shared" si="0"/>
        <v>1058.8714285714286</v>
      </c>
      <c r="D9" s="73">
        <f t="shared" si="1"/>
        <v>662.74764856533329</v>
      </c>
      <c r="E9" s="34"/>
      <c r="F9" s="234"/>
      <c r="G9" s="234"/>
      <c r="H9" s="235"/>
      <c r="I9" s="239"/>
      <c r="J9" s="8"/>
      <c r="K9" s="8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</row>
    <row r="10" spans="1:173" s="79" customFormat="1" ht="15" customHeight="1" thickBot="1" x14ac:dyDescent="0.35">
      <c r="A10" s="38">
        <v>30</v>
      </c>
      <c r="B10" s="73">
        <f>PRODUCT(PARAMETROS!B$8,A10)/A$3</f>
        <v>1932.9978666666666</v>
      </c>
      <c r="C10" s="74">
        <f t="shared" si="0"/>
        <v>1024.7142857142856</v>
      </c>
      <c r="D10" s="73">
        <f t="shared" si="1"/>
        <v>641.36869215999991</v>
      </c>
      <c r="E10" s="34"/>
      <c r="F10" s="120"/>
      <c r="G10" s="121"/>
      <c r="H10" s="122"/>
      <c r="I10" s="123"/>
      <c r="J10" s="8"/>
      <c r="K10" s="8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</row>
    <row r="11" spans="1:173" s="79" customFormat="1" ht="15" customHeight="1" x14ac:dyDescent="0.3">
      <c r="A11" s="38">
        <v>29</v>
      </c>
      <c r="B11" s="73">
        <f>PRODUCT(PARAMETROS!B$8,A11)/A$3</f>
        <v>1868.5646044444445</v>
      </c>
      <c r="C11" s="74">
        <f t="shared" si="0"/>
        <v>990.55714285714282</v>
      </c>
      <c r="D11" s="73">
        <f t="shared" si="1"/>
        <v>619.98973575466664</v>
      </c>
      <c r="E11" s="34"/>
      <c r="F11" s="240" t="s">
        <v>62</v>
      </c>
      <c r="G11" s="241"/>
      <c r="H11" s="241"/>
      <c r="I11" s="242"/>
      <c r="J11" s="8"/>
      <c r="K11" s="8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</row>
    <row r="12" spans="1:173" s="79" customFormat="1" ht="15" customHeight="1" thickBot="1" x14ac:dyDescent="0.35">
      <c r="A12" s="38">
        <v>28</v>
      </c>
      <c r="B12" s="73">
        <f>PRODUCT(PARAMETROS!B$8,A12)/A$3</f>
        <v>1804.1313422222222</v>
      </c>
      <c r="C12" s="74">
        <f t="shared" si="0"/>
        <v>956.4000000000002</v>
      </c>
      <c r="D12" s="73">
        <f t="shared" si="1"/>
        <v>598.61077934933326</v>
      </c>
      <c r="E12" s="34"/>
      <c r="F12" s="243"/>
      <c r="G12" s="244"/>
      <c r="H12" s="244"/>
      <c r="I12" s="245"/>
      <c r="J12" s="8"/>
      <c r="K12" s="8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</row>
    <row r="13" spans="1:173" s="79" customFormat="1" ht="15" customHeight="1" thickBot="1" x14ac:dyDescent="0.35">
      <c r="A13" s="38">
        <v>27</v>
      </c>
      <c r="B13" s="73">
        <f>PRODUCT(PARAMETROS!B$8,A13)/A$3</f>
        <v>1739.6980799999999</v>
      </c>
      <c r="C13" s="74">
        <f t="shared" si="0"/>
        <v>922.24285714285702</v>
      </c>
      <c r="D13" s="73">
        <f t="shared" si="1"/>
        <v>577.23182294399999</v>
      </c>
      <c r="E13" s="34"/>
      <c r="F13" s="117"/>
      <c r="G13" s="135" t="s">
        <v>55</v>
      </c>
      <c r="H13" s="133" t="s">
        <v>56</v>
      </c>
      <c r="I13" s="142" t="s">
        <v>57</v>
      </c>
      <c r="J13" s="8"/>
      <c r="K13" s="8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</row>
    <row r="14" spans="1:173" s="79" customFormat="1" ht="15" customHeight="1" x14ac:dyDescent="0.3">
      <c r="A14" s="38">
        <v>26</v>
      </c>
      <c r="B14" s="73">
        <f>PRODUCT(PARAMETROS!B$8,A14)/A$3</f>
        <v>1675.2648177777778</v>
      </c>
      <c r="C14" s="74">
        <f t="shared" si="0"/>
        <v>888.08571428571429</v>
      </c>
      <c r="D14" s="73">
        <f t="shared" si="1"/>
        <v>555.8528665386666</v>
      </c>
      <c r="E14" s="34"/>
      <c r="F14" s="251" t="s">
        <v>58</v>
      </c>
      <c r="G14" s="246">
        <f>IF(I8&gt;=G4,I8,G4)</f>
        <v>1323</v>
      </c>
      <c r="H14" s="230">
        <v>24.18</v>
      </c>
      <c r="I14" s="232">
        <f>G14*H14%</f>
        <v>319.90139999999997</v>
      </c>
      <c r="J14" s="8"/>
      <c r="K14" s="8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</row>
    <row r="15" spans="1:173" s="79" customFormat="1" ht="15" customHeight="1" thickBot="1" x14ac:dyDescent="0.35">
      <c r="A15" s="38">
        <v>25</v>
      </c>
      <c r="B15" s="73">
        <f>PRODUCT(PARAMETROS!B$8,A15)/A$3</f>
        <v>1610.8315555555555</v>
      </c>
      <c r="C15" s="74">
        <f t="shared" si="0"/>
        <v>853.92857142857144</v>
      </c>
      <c r="D15" s="73">
        <f t="shared" si="1"/>
        <v>534.47391013333333</v>
      </c>
      <c r="E15" s="34"/>
      <c r="F15" s="252"/>
      <c r="G15" s="247"/>
      <c r="H15" s="231"/>
      <c r="I15" s="233"/>
      <c r="J15" s="8"/>
      <c r="K15" s="8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</row>
    <row r="16" spans="1:173" s="79" customFormat="1" ht="15" customHeight="1" x14ac:dyDescent="0.3">
      <c r="A16" s="38">
        <v>24</v>
      </c>
      <c r="B16" s="73">
        <f>PRODUCT(PARAMETROS!B$8,A16)/A$3</f>
        <v>1546.3982933333334</v>
      </c>
      <c r="C16" s="74">
        <f t="shared" si="0"/>
        <v>819.77142857142849</v>
      </c>
      <c r="D16" s="73">
        <f t="shared" si="1"/>
        <v>513.09495372799995</v>
      </c>
      <c r="E16" s="34"/>
      <c r="F16" s="251" t="s">
        <v>59</v>
      </c>
      <c r="G16" s="246">
        <f>IF(I8&gt;=I4,I8,I4)</f>
        <v>1323</v>
      </c>
      <c r="H16" s="230">
        <v>9</v>
      </c>
      <c r="I16" s="232">
        <f>G16*H16%</f>
        <v>119.07</v>
      </c>
      <c r="J16" s="8"/>
      <c r="K16" s="8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</row>
    <row r="17" spans="1:173" s="79" customFormat="1" ht="15" customHeight="1" thickBot="1" x14ac:dyDescent="0.35">
      <c r="A17" s="38">
        <v>23</v>
      </c>
      <c r="B17" s="73">
        <f>PRODUCT(PARAMETROS!B$8,A17)/A$3</f>
        <v>1481.9650311111109</v>
      </c>
      <c r="C17" s="74">
        <f t="shared" si="0"/>
        <v>785.61428571428564</v>
      </c>
      <c r="D17" s="73">
        <f t="shared" si="1"/>
        <v>491.71599732266657</v>
      </c>
      <c r="E17" s="34"/>
      <c r="F17" s="252"/>
      <c r="G17" s="247"/>
      <c r="H17" s="231"/>
      <c r="I17" s="233"/>
      <c r="J17" s="8"/>
      <c r="K17" s="8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</row>
    <row r="18" spans="1:173" s="79" customFormat="1" ht="15" customHeight="1" thickBot="1" x14ac:dyDescent="0.35">
      <c r="A18" s="38">
        <v>22</v>
      </c>
      <c r="B18" s="73">
        <f>PRODUCT(PARAMETROS!B$8,A18)/A$3</f>
        <v>1417.5317688888888</v>
      </c>
      <c r="C18" s="74">
        <f t="shared" si="0"/>
        <v>751.4571428571428</v>
      </c>
      <c r="D18" s="73">
        <f t="shared" si="1"/>
        <v>470.3370409173333</v>
      </c>
      <c r="E18" s="34"/>
      <c r="F18" s="266" t="s">
        <v>63</v>
      </c>
      <c r="G18" s="267"/>
      <c r="H18" s="134">
        <f>(H14+H16)</f>
        <v>33.18</v>
      </c>
      <c r="I18" s="130">
        <f>SUM(I14:I17)</f>
        <v>438.97139999999996</v>
      </c>
      <c r="J18" s="8"/>
      <c r="K18" s="8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</row>
    <row r="19" spans="1:173" s="79" customFormat="1" ht="15" customHeight="1" x14ac:dyDescent="0.3">
      <c r="A19" s="38">
        <v>21</v>
      </c>
      <c r="B19" s="73">
        <f>PRODUCT(PARAMETROS!B$8,A19)/A$3</f>
        <v>1353.0985066666665</v>
      </c>
      <c r="C19" s="74">
        <f t="shared" si="0"/>
        <v>717.3</v>
      </c>
      <c r="D19" s="73">
        <f t="shared" si="1"/>
        <v>448.95808451199991</v>
      </c>
      <c r="E19" s="34"/>
      <c r="F19" s="126"/>
      <c r="G19" s="127"/>
      <c r="H19" s="128"/>
      <c r="I19" s="129"/>
      <c r="J19" s="8"/>
      <c r="K19" s="8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</row>
    <row r="20" spans="1:173" s="79" customFormat="1" ht="15" customHeight="1" x14ac:dyDescent="0.3">
      <c r="A20" s="38">
        <v>20</v>
      </c>
      <c r="B20" s="73">
        <f>PRODUCT(PARAMETROS!B$8,A20)/A$3</f>
        <v>1288.6652444444444</v>
      </c>
      <c r="C20" s="74">
        <f t="shared" si="0"/>
        <v>683.14285714285722</v>
      </c>
      <c r="D20" s="73">
        <f t="shared" si="1"/>
        <v>427.57912810666664</v>
      </c>
      <c r="E20" s="34"/>
      <c r="F20" s="255" t="s">
        <v>76</v>
      </c>
      <c r="G20" s="255"/>
      <c r="H20" s="255"/>
      <c r="I20" s="255"/>
      <c r="J20" s="255"/>
      <c r="K20" s="147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</row>
    <row r="21" spans="1:173" s="79" customFormat="1" ht="15" customHeight="1" x14ac:dyDescent="0.3">
      <c r="A21" s="38">
        <v>19</v>
      </c>
      <c r="B21" s="73">
        <f>PRODUCT(PARAMETROS!B$8,A21)/A$3</f>
        <v>1224.2319822222221</v>
      </c>
      <c r="C21" s="74">
        <f t="shared" si="0"/>
        <v>648.98571428571427</v>
      </c>
      <c r="D21" s="73">
        <f t="shared" si="1"/>
        <v>406.20017170133326</v>
      </c>
      <c r="E21" s="34"/>
      <c r="F21" s="255"/>
      <c r="G21" s="255"/>
      <c r="H21" s="255"/>
      <c r="I21" s="255"/>
      <c r="J21" s="255"/>
      <c r="K21" s="147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</row>
    <row r="22" spans="1:173" s="79" customFormat="1" ht="15" customHeight="1" thickBot="1" x14ac:dyDescent="0.35">
      <c r="A22" s="38">
        <v>18</v>
      </c>
      <c r="B22" s="73">
        <f>PRODUCT(PARAMETROS!B$8,A22)/A$3</f>
        <v>1159.79872</v>
      </c>
      <c r="C22" s="74">
        <f t="shared" si="0"/>
        <v>614.82857142857154</v>
      </c>
      <c r="D22" s="73">
        <f t="shared" si="1"/>
        <v>384.82121529599999</v>
      </c>
      <c r="E22" s="34"/>
      <c r="F22" s="35"/>
      <c r="G22" s="19"/>
      <c r="H22" s="8"/>
      <c r="I22" s="115"/>
      <c r="J22" s="8"/>
      <c r="K22" s="8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</row>
    <row r="23" spans="1:173" s="79" customFormat="1" ht="15" customHeight="1" x14ac:dyDescent="0.3">
      <c r="A23" s="38">
        <v>17</v>
      </c>
      <c r="B23" s="73">
        <f>PRODUCT(PARAMETROS!B$8,A23)/A$3</f>
        <v>1095.3654577777777</v>
      </c>
      <c r="C23" s="74">
        <f t="shared" si="0"/>
        <v>580.67142857142846</v>
      </c>
      <c r="D23" s="73">
        <f t="shared" si="1"/>
        <v>363.44225889066661</v>
      </c>
      <c r="E23" s="34"/>
      <c r="F23" s="234" t="s">
        <v>64</v>
      </c>
      <c r="G23" s="234"/>
      <c r="H23" s="235"/>
      <c r="I23" s="236">
        <v>0</v>
      </c>
      <c r="J23" s="8"/>
      <c r="K23" s="8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</row>
    <row r="24" spans="1:173" s="79" customFormat="1" ht="15" customHeight="1" thickBot="1" x14ac:dyDescent="0.35">
      <c r="A24" s="38">
        <v>16</v>
      </c>
      <c r="B24" s="73">
        <f>PRODUCT(PARAMETROS!B$8,A24)/A$3</f>
        <v>1030.9321955555556</v>
      </c>
      <c r="C24" s="74">
        <f t="shared" si="0"/>
        <v>546.51428571428573</v>
      </c>
      <c r="D24" s="73">
        <f t="shared" si="1"/>
        <v>342.06330248533334</v>
      </c>
      <c r="E24" s="34"/>
      <c r="F24" s="234"/>
      <c r="G24" s="234"/>
      <c r="H24" s="235"/>
      <c r="I24" s="237"/>
      <c r="J24" s="8"/>
      <c r="K24" s="8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</row>
    <row r="25" spans="1:173" s="79" customFormat="1" ht="15" customHeight="1" thickBot="1" x14ac:dyDescent="0.35">
      <c r="A25" s="38">
        <v>15</v>
      </c>
      <c r="B25" s="73">
        <f>PRODUCT(PARAMETROS!B$8,A25)/A$3</f>
        <v>966.4989333333333</v>
      </c>
      <c r="C25" s="74">
        <f t="shared" si="0"/>
        <v>512.35714285714278</v>
      </c>
      <c r="D25" s="73">
        <f t="shared" si="1"/>
        <v>320.68434607999995</v>
      </c>
      <c r="E25" s="34"/>
      <c r="F25" s="35"/>
      <c r="G25" s="19"/>
      <c r="H25" s="8"/>
      <c r="I25" s="115"/>
      <c r="J25" s="8"/>
      <c r="K25" s="8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</row>
    <row r="26" spans="1:173" s="79" customFormat="1" ht="15" customHeight="1" x14ac:dyDescent="0.3">
      <c r="A26" s="38">
        <v>14</v>
      </c>
      <c r="B26" s="73">
        <f>PRODUCT(PARAMETROS!B$8,A26)/A$3</f>
        <v>902.0656711111111</v>
      </c>
      <c r="C26" s="74">
        <f t="shared" si="0"/>
        <v>478.2000000000001</v>
      </c>
      <c r="D26" s="73">
        <f t="shared" si="1"/>
        <v>299.30538967466663</v>
      </c>
      <c r="E26" s="34"/>
      <c r="F26" s="234" t="s">
        <v>68</v>
      </c>
      <c r="G26" s="234"/>
      <c r="H26" s="235"/>
      <c r="I26" s="238">
        <v>0</v>
      </c>
      <c r="J26" s="8"/>
      <c r="K26" s="8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</row>
    <row r="27" spans="1:173" s="79" customFormat="1" ht="15" customHeight="1" thickBot="1" x14ac:dyDescent="0.35">
      <c r="A27" s="38">
        <v>13</v>
      </c>
      <c r="B27" s="73">
        <f>PRODUCT(PARAMETROS!B$8,A27)/A$3</f>
        <v>837.6324088888889</v>
      </c>
      <c r="C27" s="74">
        <f t="shared" si="0"/>
        <v>444.04285714285714</v>
      </c>
      <c r="D27" s="73">
        <f t="shared" si="1"/>
        <v>277.9264332693333</v>
      </c>
      <c r="E27" s="34"/>
      <c r="F27" s="234"/>
      <c r="G27" s="234"/>
      <c r="H27" s="235"/>
      <c r="I27" s="239"/>
      <c r="J27" s="8"/>
      <c r="K27" s="8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</row>
    <row r="28" spans="1:173" s="79" customFormat="1" ht="15" customHeight="1" thickBot="1" x14ac:dyDescent="0.35">
      <c r="A28" s="38">
        <v>12</v>
      </c>
      <c r="B28" s="73">
        <f>PRODUCT(PARAMETROS!B$8,A28)/A$3</f>
        <v>773.19914666666671</v>
      </c>
      <c r="C28" s="74">
        <f t="shared" si="0"/>
        <v>409.88571428571424</v>
      </c>
      <c r="D28" s="73">
        <f t="shared" si="1"/>
        <v>256.54747686399998</v>
      </c>
      <c r="E28" s="34"/>
      <c r="F28" s="35"/>
      <c r="G28" s="19"/>
      <c r="H28" s="8"/>
      <c r="I28" s="115"/>
      <c r="J28" s="8"/>
      <c r="K28" s="8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</row>
    <row r="29" spans="1:173" s="79" customFormat="1" ht="15" customHeight="1" x14ac:dyDescent="0.3">
      <c r="A29" s="38">
        <v>11</v>
      </c>
      <c r="B29" s="73">
        <f>PRODUCT(PARAMETROS!B$8,A29)/A$3</f>
        <v>708.7658844444444</v>
      </c>
      <c r="C29" s="74">
        <f t="shared" si="0"/>
        <v>375.7285714285714</v>
      </c>
      <c r="D29" s="73">
        <f t="shared" si="1"/>
        <v>235.16852045866665</v>
      </c>
      <c r="E29" s="34"/>
      <c r="F29" s="240" t="s">
        <v>65</v>
      </c>
      <c r="G29" s="241"/>
      <c r="H29" s="241"/>
      <c r="I29" s="242"/>
      <c r="J29" s="8"/>
      <c r="K29" s="8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</row>
    <row r="30" spans="1:173" s="79" customFormat="1" ht="15" customHeight="1" thickBot="1" x14ac:dyDescent="0.35">
      <c r="A30" s="38">
        <v>10</v>
      </c>
      <c r="B30" s="73">
        <f>PRODUCT(PARAMETROS!B$8,A30)/A$3</f>
        <v>644.3326222222222</v>
      </c>
      <c r="C30" s="74">
        <f t="shared" si="0"/>
        <v>341.57142857142861</v>
      </c>
      <c r="D30" s="73">
        <f t="shared" si="1"/>
        <v>213.78956405333332</v>
      </c>
      <c r="E30" s="34"/>
      <c r="F30" s="243"/>
      <c r="G30" s="244"/>
      <c r="H30" s="244"/>
      <c r="I30" s="245"/>
      <c r="J30" s="8"/>
      <c r="K30" s="8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</row>
    <row r="31" spans="1:173" s="79" customFormat="1" ht="15" customHeight="1" thickBot="1" x14ac:dyDescent="0.35">
      <c r="A31" s="38">
        <v>9</v>
      </c>
      <c r="B31" s="73">
        <f>PRODUCT(PARAMETROS!B$8,A31)/A$3</f>
        <v>579.89936</v>
      </c>
      <c r="C31" s="74">
        <f t="shared" si="0"/>
        <v>307.41428571428577</v>
      </c>
      <c r="D31" s="73">
        <f t="shared" si="1"/>
        <v>192.410607648</v>
      </c>
      <c r="E31" s="34"/>
      <c r="F31" s="137" t="s">
        <v>69</v>
      </c>
      <c r="G31" s="135" t="s">
        <v>55</v>
      </c>
      <c r="H31" s="133" t="s">
        <v>70</v>
      </c>
      <c r="I31" s="119" t="s">
        <v>57</v>
      </c>
      <c r="J31" s="8"/>
      <c r="K31" s="8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</row>
    <row r="32" spans="1:173" s="79" customFormat="1" ht="15" customHeight="1" x14ac:dyDescent="0.3">
      <c r="A32" s="38">
        <v>8</v>
      </c>
      <c r="B32" s="73">
        <f>PRODUCT(PARAMETROS!B$8,A32)/A$3</f>
        <v>515.4660977777778</v>
      </c>
      <c r="C32" s="74">
        <f t="shared" si="0"/>
        <v>273.25714285714287</v>
      </c>
      <c r="D32" s="73">
        <f t="shared" si="1"/>
        <v>171.03165124266667</v>
      </c>
      <c r="E32" s="34"/>
      <c r="F32" s="312">
        <f>((I23/37.5*7.5*5)/7)*30*$C$43</f>
        <v>0</v>
      </c>
      <c r="G32" s="228">
        <f>IF(I26&lt;F32,F32,I26)</f>
        <v>0</v>
      </c>
      <c r="H32" s="230">
        <v>33.18</v>
      </c>
      <c r="I32" s="232">
        <f>G32*H32%</f>
        <v>0</v>
      </c>
      <c r="J32" s="8"/>
      <c r="K32" s="8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</row>
    <row r="33" spans="1:173" s="79" customFormat="1" ht="15" customHeight="1" thickBot="1" x14ac:dyDescent="0.35">
      <c r="A33" s="38">
        <v>7</v>
      </c>
      <c r="B33" s="73">
        <f>PRODUCT(PARAMETROS!B$8,A33)/A$3</f>
        <v>451.03283555555555</v>
      </c>
      <c r="C33" s="74">
        <f t="shared" si="0"/>
        <v>239.10000000000005</v>
      </c>
      <c r="D33" s="73">
        <f t="shared" si="1"/>
        <v>149.65269483733331</v>
      </c>
      <c r="E33" s="34"/>
      <c r="F33" s="227"/>
      <c r="G33" s="229"/>
      <c r="H33" s="231"/>
      <c r="I33" s="233"/>
      <c r="J33" s="8"/>
      <c r="K33" s="8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</row>
    <row r="34" spans="1:173" s="79" customFormat="1" ht="15" customHeight="1" thickBot="1" x14ac:dyDescent="0.35">
      <c r="A34" s="38">
        <v>6</v>
      </c>
      <c r="B34" s="73">
        <f>PRODUCT(PARAMETROS!B$8,A34)/A$3</f>
        <v>386.59957333333335</v>
      </c>
      <c r="C34" s="74">
        <f t="shared" si="0"/>
        <v>204.94285714285712</v>
      </c>
      <c r="D34" s="73">
        <f t="shared" si="1"/>
        <v>128.27373843199999</v>
      </c>
      <c r="E34" s="34"/>
      <c r="F34" s="221" t="s">
        <v>66</v>
      </c>
      <c r="G34" s="222"/>
      <c r="H34" s="223"/>
      <c r="I34" s="130">
        <f>SUM(I32)</f>
        <v>0</v>
      </c>
      <c r="J34" s="8"/>
      <c r="K34" s="8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</row>
    <row r="35" spans="1:173" s="79" customFormat="1" ht="15" customHeight="1" x14ac:dyDescent="0.3">
      <c r="A35" s="38">
        <v>5</v>
      </c>
      <c r="B35" s="73">
        <f>PRODUCT(PARAMETROS!B$8,A35)/A$3</f>
        <v>322.1663111111111</v>
      </c>
      <c r="C35" s="74">
        <f t="shared" si="0"/>
        <v>170.78571428571431</v>
      </c>
      <c r="D35" s="73">
        <f t="shared" si="1"/>
        <v>106.89478202666666</v>
      </c>
      <c r="E35" s="34"/>
      <c r="F35" s="35"/>
      <c r="G35" s="19"/>
      <c r="H35" s="8"/>
      <c r="I35" s="115"/>
      <c r="J35" s="8"/>
      <c r="K35" s="136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</row>
    <row r="36" spans="1:173" s="79" customFormat="1" ht="15" customHeight="1" x14ac:dyDescent="0.3">
      <c r="A36" s="38">
        <v>4</v>
      </c>
      <c r="B36" s="73">
        <f>PRODUCT(PARAMETROS!B$8,A36)/A$3</f>
        <v>257.7330488888889</v>
      </c>
      <c r="C36" s="74">
        <f t="shared" si="0"/>
        <v>136.62857142857143</v>
      </c>
      <c r="D36" s="73">
        <f t="shared" si="1"/>
        <v>85.515825621333335</v>
      </c>
      <c r="E36" s="34"/>
      <c r="F36" s="296" t="s">
        <v>67</v>
      </c>
      <c r="G36" s="296"/>
      <c r="H36" s="296"/>
      <c r="I36" s="225" t="s">
        <v>101</v>
      </c>
      <c r="J36" s="34"/>
      <c r="K36" s="136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</row>
    <row r="37" spans="1:173" s="79" customFormat="1" ht="15" customHeight="1" x14ac:dyDescent="0.3">
      <c r="A37" s="38">
        <v>3</v>
      </c>
      <c r="B37" s="73">
        <f>PRODUCT(PARAMETROS!B$8,A37)/A$3</f>
        <v>193.29978666666668</v>
      </c>
      <c r="C37" s="74">
        <f t="shared" si="0"/>
        <v>102.47142857142856</v>
      </c>
      <c r="D37" s="73">
        <f t="shared" si="1"/>
        <v>64.136869215999994</v>
      </c>
      <c r="E37" s="34"/>
      <c r="F37" s="296"/>
      <c r="G37" s="296"/>
      <c r="H37" s="296"/>
      <c r="I37" s="225"/>
      <c r="J37" s="34"/>
      <c r="K37" s="136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</row>
    <row r="38" spans="1:173" s="79" customFormat="1" ht="15" customHeight="1" x14ac:dyDescent="0.3">
      <c r="A38" s="38">
        <v>2</v>
      </c>
      <c r="B38" s="73">
        <f>PRODUCT(PARAMETROS!B$8,A38)/A$3</f>
        <v>128.86652444444445</v>
      </c>
      <c r="C38" s="74">
        <f t="shared" si="0"/>
        <v>68.314285714285717</v>
      </c>
      <c r="D38" s="73">
        <f t="shared" si="1"/>
        <v>42.757912810666667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</row>
    <row r="39" spans="1:173" s="79" customFormat="1" ht="15" customHeight="1" x14ac:dyDescent="0.3">
      <c r="A39" s="39">
        <v>1</v>
      </c>
      <c r="B39" s="75">
        <f>PRODUCT(PARAMETROS!B$8,A39)/A$3</f>
        <v>64.433262222222226</v>
      </c>
      <c r="C39" s="76">
        <f t="shared" si="0"/>
        <v>34.157142857142858</v>
      </c>
      <c r="D39" s="75">
        <f t="shared" si="1"/>
        <v>21.378956405333334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</row>
    <row r="41" spans="1:173" ht="13.5" hidden="1" x14ac:dyDescent="0.3">
      <c r="C41" s="211" t="s">
        <v>93</v>
      </c>
    </row>
    <row r="42" spans="1:173" ht="13.5" hidden="1" thickBot="1" x14ac:dyDescent="0.35"/>
    <row r="43" spans="1:173" s="8" customFormat="1" ht="27.5" hidden="1" thickBot="1" x14ac:dyDescent="0.35">
      <c r="A43" s="33"/>
      <c r="B43" s="206" t="s">
        <v>34</v>
      </c>
      <c r="C43" s="207">
        <v>7.97</v>
      </c>
      <c r="D43" s="106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</row>
    <row r="44" spans="1:173" hidden="1" x14ac:dyDescent="0.3"/>
    <row r="45" spans="1:173" hidden="1" x14ac:dyDescent="0.3"/>
  </sheetData>
  <sheetProtection algorithmName="SHA-512" hashValue="3Ioow7timBgEvMQXMFWcRH6lfUJFsmAOPTs6oz9tr+Uqu+4159jE/OiLsInfcld1APO7K49+iIdHxl4PflXMIw==" saltValue="ff+B15nEA/pWt/t4UZk20w==" spinCount="100000" sheet="1" objects="1" scenarios="1"/>
  <protectedRanges>
    <protectedRange sqref="I36" name="CALCULO RC"/>
    <protectedRange sqref="I8" name="RET TC_1"/>
    <protectedRange sqref="I23" name="DED_1"/>
    <protectedRange sqref="I26" name="RET TP_1"/>
  </protectedRanges>
  <mergeCells count="33">
    <mergeCell ref="F20:J21"/>
    <mergeCell ref="F36:H37"/>
    <mergeCell ref="F34:H34"/>
    <mergeCell ref="I36:I37"/>
    <mergeCell ref="F29:I30"/>
    <mergeCell ref="F32:F33"/>
    <mergeCell ref="G32:G33"/>
    <mergeCell ref="H32:H33"/>
    <mergeCell ref="I32:I33"/>
    <mergeCell ref="F23:H24"/>
    <mergeCell ref="I23:I24"/>
    <mergeCell ref="F26:H27"/>
    <mergeCell ref="I26:I27"/>
    <mergeCell ref="F16:F17"/>
    <mergeCell ref="G16:G17"/>
    <mergeCell ref="H16:H17"/>
    <mergeCell ref="I16:I17"/>
    <mergeCell ref="F18:G18"/>
    <mergeCell ref="F8:H9"/>
    <mergeCell ref="I8:I9"/>
    <mergeCell ref="F11:I12"/>
    <mergeCell ref="F14:F15"/>
    <mergeCell ref="G14:G15"/>
    <mergeCell ref="H14:H15"/>
    <mergeCell ref="I14:I15"/>
    <mergeCell ref="A1:D1"/>
    <mergeCell ref="F2:H2"/>
    <mergeCell ref="I2:J2"/>
    <mergeCell ref="F4:F5"/>
    <mergeCell ref="G4:G5"/>
    <mergeCell ref="H4:H5"/>
    <mergeCell ref="I4:I5"/>
    <mergeCell ref="J4:J5"/>
  </mergeCells>
  <phoneticPr fontId="0" type="noConversion"/>
  <hyperlinks>
    <hyperlink ref="I36:I37" r:id="rId1" display="CALCULO RC" xr:uid="{00000000-0004-0000-0600-000000000000}"/>
  </hyperlinks>
  <printOptions horizontalCentered="1"/>
  <pageMargins left="0.94488188976377963" right="0.94488188976377963" top="0" bottom="0.39370078740157483" header="0" footer="0"/>
  <pageSetup paperSize="9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N48"/>
  <sheetViews>
    <sheetView tabSelected="1" zoomScaleNormal="100" workbookViewId="0">
      <selection activeCell="F1" sqref="F1"/>
    </sheetView>
  </sheetViews>
  <sheetFormatPr baseColWidth="10" defaultRowHeight="13" x14ac:dyDescent="0.3"/>
  <cols>
    <col min="1" max="1" width="25.1796875" style="1" bestFit="1" customWidth="1"/>
    <col min="2" max="2" width="33.453125" style="1" customWidth="1"/>
    <col min="3" max="3" width="8.984375E-2" style="3" hidden="1" customWidth="1"/>
    <col min="4" max="4" width="32.81640625" style="1" customWidth="1"/>
    <col min="5" max="5" width="13.453125" customWidth="1"/>
    <col min="6" max="6" width="20.1796875" customWidth="1"/>
    <col min="7" max="7" width="26.453125" bestFit="1" customWidth="1"/>
    <col min="8" max="8" width="26.81640625" customWidth="1"/>
    <col min="9" max="9" width="17" customWidth="1"/>
    <col min="10" max="10" width="15.1796875" bestFit="1" customWidth="1"/>
  </cols>
  <sheetData>
    <row r="1" spans="1:170" s="8" customFormat="1" ht="65.25" customHeight="1" x14ac:dyDescent="0.3">
      <c r="A1" s="256" t="s">
        <v>116</v>
      </c>
      <c r="B1" s="256"/>
      <c r="C1" s="256"/>
      <c r="D1" s="256"/>
      <c r="E1" s="20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</row>
    <row r="2" spans="1:170" s="27" customFormat="1" ht="27" x14ac:dyDescent="0.3">
      <c r="A2" s="40" t="s">
        <v>45</v>
      </c>
      <c r="B2" s="65" t="s">
        <v>46</v>
      </c>
      <c r="C2" s="86" t="s">
        <v>91</v>
      </c>
      <c r="D2" s="67" t="s">
        <v>113</v>
      </c>
      <c r="E2" s="17"/>
      <c r="F2" s="306" t="s">
        <v>50</v>
      </c>
      <c r="G2" s="307"/>
      <c r="H2" s="308"/>
      <c r="I2" s="306" t="s">
        <v>54</v>
      </c>
      <c r="J2" s="308"/>
      <c r="K2" s="36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</row>
    <row r="3" spans="1:170" ht="15" customHeight="1" x14ac:dyDescent="0.3">
      <c r="A3" s="37">
        <v>37.5</v>
      </c>
      <c r="B3" s="71">
        <f>PARAMETROS!B9</f>
        <v>2075.1036666666669</v>
      </c>
      <c r="C3" s="72"/>
      <c r="D3" s="71">
        <v>644.04</v>
      </c>
      <c r="F3" s="124" t="s">
        <v>49</v>
      </c>
      <c r="G3" s="124" t="s">
        <v>60</v>
      </c>
      <c r="H3" s="124" t="s">
        <v>61</v>
      </c>
      <c r="I3" s="125" t="s">
        <v>52</v>
      </c>
      <c r="J3" s="124" t="s">
        <v>53</v>
      </c>
      <c r="K3" s="27"/>
    </row>
    <row r="4" spans="1:170" ht="15" customHeight="1" x14ac:dyDescent="0.3">
      <c r="A4" s="38">
        <v>36</v>
      </c>
      <c r="B4" s="73">
        <f>PRODUCT(B$3,A4)/A$3</f>
        <v>1992.09952</v>
      </c>
      <c r="C4" s="74">
        <f t="shared" ref="C4:C39" si="0">(A4/$A$3*7.5*5)/7*30*$C$43</f>
        <v>1229.6571428571431</v>
      </c>
      <c r="D4" s="73">
        <f>IF(B4&lt;C4,C4*$H$18%,B4*$H$18%)</f>
        <v>660.97862073599993</v>
      </c>
      <c r="F4" s="309">
        <v>7</v>
      </c>
      <c r="G4" s="260">
        <v>1323</v>
      </c>
      <c r="H4" s="260">
        <v>4720.5</v>
      </c>
      <c r="I4" s="264">
        <v>1323</v>
      </c>
      <c r="J4" s="264">
        <v>4720.5</v>
      </c>
      <c r="K4" s="8"/>
    </row>
    <row r="5" spans="1:170" ht="15" customHeight="1" x14ac:dyDescent="0.3">
      <c r="A5" s="38">
        <v>35</v>
      </c>
      <c r="B5" s="73">
        <f>PRODUCT(B$3,A5)/A$3</f>
        <v>1936.7634222222225</v>
      </c>
      <c r="C5" s="74">
        <f t="shared" si="0"/>
        <v>1195.5</v>
      </c>
      <c r="D5" s="73">
        <f t="shared" ref="D5:D39" si="1">IF(B5&lt;C5,C5*$H$18%,B5*$H$18%)</f>
        <v>642.61810349333336</v>
      </c>
      <c r="F5" s="310"/>
      <c r="G5" s="261"/>
      <c r="H5" s="261"/>
      <c r="I5" s="265"/>
      <c r="J5" s="265"/>
      <c r="K5" s="8"/>
    </row>
    <row r="6" spans="1:170" ht="15" customHeight="1" x14ac:dyDescent="0.3">
      <c r="A6" s="38">
        <v>34</v>
      </c>
      <c r="B6" s="73">
        <f t="shared" ref="B6:B39" si="2">PRODUCT(B$3,A6)/A$3</f>
        <v>1881.4273244444448</v>
      </c>
      <c r="C6" s="74">
        <f t="shared" si="0"/>
        <v>1161.3428571428569</v>
      </c>
      <c r="D6" s="73">
        <f t="shared" si="1"/>
        <v>624.2575862506668</v>
      </c>
      <c r="F6" s="35"/>
      <c r="G6" s="8"/>
      <c r="H6" s="8"/>
      <c r="I6" s="115"/>
      <c r="J6" s="8"/>
      <c r="K6" s="8"/>
    </row>
    <row r="7" spans="1:170" ht="15" customHeight="1" thickBot="1" x14ac:dyDescent="0.35">
      <c r="A7" s="38">
        <v>33</v>
      </c>
      <c r="B7" s="73">
        <f t="shared" si="2"/>
        <v>1826.0912266666667</v>
      </c>
      <c r="C7" s="74">
        <f t="shared" si="0"/>
        <v>1127.1857142857143</v>
      </c>
      <c r="D7" s="73">
        <f t="shared" si="1"/>
        <v>605.89706900800002</v>
      </c>
      <c r="F7" s="35"/>
      <c r="G7" s="19"/>
      <c r="H7" s="8"/>
      <c r="I7" s="115"/>
      <c r="J7" s="8"/>
      <c r="K7" s="8"/>
    </row>
    <row r="8" spans="1:170" ht="15" customHeight="1" x14ac:dyDescent="0.3">
      <c r="A8" s="38">
        <v>32</v>
      </c>
      <c r="B8" s="73">
        <f t="shared" si="2"/>
        <v>1770.755128888889</v>
      </c>
      <c r="C8" s="74">
        <f t="shared" si="0"/>
        <v>1093.0285714285715</v>
      </c>
      <c r="D8" s="73">
        <f t="shared" si="1"/>
        <v>587.53655176533334</v>
      </c>
      <c r="F8" s="234" t="s">
        <v>87</v>
      </c>
      <c r="G8" s="234"/>
      <c r="H8" s="235"/>
      <c r="I8" s="238">
        <v>0</v>
      </c>
      <c r="J8" s="8"/>
      <c r="K8" s="8"/>
    </row>
    <row r="9" spans="1:170" ht="15" customHeight="1" thickBot="1" x14ac:dyDescent="0.35">
      <c r="A9" s="38">
        <v>31</v>
      </c>
      <c r="B9" s="73">
        <f t="shared" si="2"/>
        <v>1715.4190311111113</v>
      </c>
      <c r="C9" s="74">
        <f t="shared" si="0"/>
        <v>1058.8714285714286</v>
      </c>
      <c r="D9" s="73">
        <f t="shared" si="1"/>
        <v>569.17603452266667</v>
      </c>
      <c r="F9" s="234"/>
      <c r="G9" s="234"/>
      <c r="H9" s="235"/>
      <c r="I9" s="239"/>
      <c r="J9" s="8"/>
      <c r="K9" s="8"/>
    </row>
    <row r="10" spans="1:170" ht="15" customHeight="1" thickBot="1" x14ac:dyDescent="0.35">
      <c r="A10" s="38">
        <v>30</v>
      </c>
      <c r="B10" s="73">
        <f t="shared" si="2"/>
        <v>1660.0829333333336</v>
      </c>
      <c r="C10" s="74">
        <f t="shared" si="0"/>
        <v>1024.7142857142856</v>
      </c>
      <c r="D10" s="73">
        <f t="shared" si="1"/>
        <v>550.81551728000011</v>
      </c>
      <c r="F10" s="120"/>
      <c r="G10" s="121"/>
      <c r="H10" s="122"/>
      <c r="I10" s="123"/>
      <c r="J10" s="8"/>
      <c r="K10" s="8"/>
    </row>
    <row r="11" spans="1:170" ht="15" customHeight="1" x14ac:dyDescent="0.3">
      <c r="A11" s="38">
        <v>29</v>
      </c>
      <c r="B11" s="73">
        <f t="shared" si="2"/>
        <v>1604.7468355555557</v>
      </c>
      <c r="C11" s="74">
        <f t="shared" si="0"/>
        <v>990.55714285714282</v>
      </c>
      <c r="D11" s="73">
        <f t="shared" si="1"/>
        <v>532.45500003733332</v>
      </c>
      <c r="F11" s="240" t="s">
        <v>62</v>
      </c>
      <c r="G11" s="241"/>
      <c r="H11" s="241"/>
      <c r="I11" s="242"/>
      <c r="J11" s="8"/>
      <c r="K11" s="8"/>
    </row>
    <row r="12" spans="1:170" ht="15" customHeight="1" thickBot="1" x14ac:dyDescent="0.35">
      <c r="A12" s="38">
        <v>28</v>
      </c>
      <c r="B12" s="73">
        <f t="shared" si="2"/>
        <v>1549.410737777778</v>
      </c>
      <c r="C12" s="74">
        <f t="shared" si="0"/>
        <v>956.4000000000002</v>
      </c>
      <c r="D12" s="73">
        <f t="shared" si="1"/>
        <v>514.09448279466676</v>
      </c>
      <c r="F12" s="243"/>
      <c r="G12" s="244"/>
      <c r="H12" s="244"/>
      <c r="I12" s="245"/>
      <c r="J12" s="8"/>
      <c r="K12" s="8"/>
    </row>
    <row r="13" spans="1:170" ht="15" customHeight="1" thickBot="1" x14ac:dyDescent="0.35">
      <c r="A13" s="38">
        <v>27</v>
      </c>
      <c r="B13" s="73">
        <f t="shared" si="2"/>
        <v>1494.0746400000003</v>
      </c>
      <c r="C13" s="74">
        <f t="shared" si="0"/>
        <v>922.24285714285702</v>
      </c>
      <c r="D13" s="73">
        <f t="shared" si="1"/>
        <v>495.73396555200009</v>
      </c>
      <c r="F13" s="117"/>
      <c r="G13" s="135" t="s">
        <v>55</v>
      </c>
      <c r="H13" s="133" t="s">
        <v>56</v>
      </c>
      <c r="I13" s="142" t="s">
        <v>57</v>
      </c>
      <c r="J13" s="8"/>
      <c r="K13" s="8"/>
    </row>
    <row r="14" spans="1:170" ht="15" customHeight="1" x14ac:dyDescent="0.3">
      <c r="A14" s="38">
        <v>26</v>
      </c>
      <c r="B14" s="73">
        <f t="shared" si="2"/>
        <v>1438.7385422222223</v>
      </c>
      <c r="C14" s="74">
        <f t="shared" si="0"/>
        <v>888.08571428571429</v>
      </c>
      <c r="D14" s="73">
        <f t="shared" si="1"/>
        <v>477.37344830933336</v>
      </c>
      <c r="F14" s="251" t="s">
        <v>58</v>
      </c>
      <c r="G14" s="246">
        <f>IF(I8&gt;=G4,I8,G4)</f>
        <v>1323</v>
      </c>
      <c r="H14" s="230">
        <v>24.18</v>
      </c>
      <c r="I14" s="232">
        <f>G14*H14%</f>
        <v>319.90139999999997</v>
      </c>
      <c r="J14" s="8"/>
      <c r="K14" s="8"/>
    </row>
    <row r="15" spans="1:170" ht="15" customHeight="1" thickBot="1" x14ac:dyDescent="0.35">
      <c r="A15" s="38">
        <v>25</v>
      </c>
      <c r="B15" s="73">
        <f t="shared" si="2"/>
        <v>1383.4024444444447</v>
      </c>
      <c r="C15" s="74">
        <f t="shared" si="0"/>
        <v>853.92857142857144</v>
      </c>
      <c r="D15" s="73">
        <f t="shared" si="1"/>
        <v>459.01293106666674</v>
      </c>
      <c r="F15" s="252"/>
      <c r="G15" s="247"/>
      <c r="H15" s="231"/>
      <c r="I15" s="233"/>
      <c r="J15" s="8"/>
      <c r="K15" s="8"/>
    </row>
    <row r="16" spans="1:170" ht="15" customHeight="1" x14ac:dyDescent="0.3">
      <c r="A16" s="38">
        <v>24</v>
      </c>
      <c r="B16" s="73">
        <f t="shared" si="2"/>
        <v>1328.0663466666667</v>
      </c>
      <c r="C16" s="74">
        <f t="shared" si="0"/>
        <v>819.77142857142849</v>
      </c>
      <c r="D16" s="73">
        <f t="shared" si="1"/>
        <v>440.65241382400001</v>
      </c>
      <c r="F16" s="251" t="s">
        <v>59</v>
      </c>
      <c r="G16" s="246">
        <f>IF(I8&gt;=I4,I8,I4)</f>
        <v>1323</v>
      </c>
      <c r="H16" s="230">
        <v>9</v>
      </c>
      <c r="I16" s="232">
        <f>G16*H16%</f>
        <v>119.07</v>
      </c>
      <c r="J16" s="8"/>
      <c r="K16" s="8"/>
    </row>
    <row r="17" spans="1:11" ht="15" customHeight="1" thickBot="1" x14ac:dyDescent="0.35">
      <c r="A17" s="38">
        <v>23</v>
      </c>
      <c r="B17" s="73">
        <f t="shared" si="2"/>
        <v>1272.730248888889</v>
      </c>
      <c r="C17" s="74">
        <f t="shared" si="0"/>
        <v>785.61428571428564</v>
      </c>
      <c r="D17" s="73">
        <f t="shared" si="1"/>
        <v>422.29189658133339</v>
      </c>
      <c r="F17" s="252"/>
      <c r="G17" s="247"/>
      <c r="H17" s="231"/>
      <c r="I17" s="233"/>
      <c r="J17" s="8"/>
      <c r="K17" s="8"/>
    </row>
    <row r="18" spans="1:11" ht="15" customHeight="1" thickBot="1" x14ac:dyDescent="0.35">
      <c r="A18" s="38">
        <v>22</v>
      </c>
      <c r="B18" s="73">
        <f t="shared" si="2"/>
        <v>1217.3941511111113</v>
      </c>
      <c r="C18" s="74">
        <f t="shared" si="0"/>
        <v>751.4571428571428</v>
      </c>
      <c r="D18" s="73">
        <f t="shared" si="1"/>
        <v>403.93137933866672</v>
      </c>
      <c r="F18" s="266" t="s">
        <v>63</v>
      </c>
      <c r="G18" s="267"/>
      <c r="H18" s="134">
        <f>(H14+H16)</f>
        <v>33.18</v>
      </c>
      <c r="I18" s="130">
        <f>SUM(I14:I17)</f>
        <v>438.97139999999996</v>
      </c>
      <c r="J18" s="8"/>
      <c r="K18" s="8"/>
    </row>
    <row r="19" spans="1:11" ht="15" customHeight="1" x14ac:dyDescent="0.3">
      <c r="A19" s="38">
        <v>21</v>
      </c>
      <c r="B19" s="73">
        <f t="shared" si="2"/>
        <v>1162.0580533333334</v>
      </c>
      <c r="C19" s="74">
        <f t="shared" si="0"/>
        <v>717.3</v>
      </c>
      <c r="D19" s="73">
        <f t="shared" si="1"/>
        <v>385.57086209599998</v>
      </c>
      <c r="F19" s="126"/>
      <c r="G19" s="127"/>
      <c r="H19" s="128"/>
      <c r="I19" s="129"/>
      <c r="J19" s="8"/>
      <c r="K19" s="8"/>
    </row>
    <row r="20" spans="1:11" ht="15" customHeight="1" x14ac:dyDescent="0.3">
      <c r="A20" s="38">
        <v>20</v>
      </c>
      <c r="B20" s="73">
        <f t="shared" si="2"/>
        <v>1106.7219555555555</v>
      </c>
      <c r="C20" s="74">
        <f t="shared" si="0"/>
        <v>683.14285714285722</v>
      </c>
      <c r="D20" s="73">
        <f t="shared" si="1"/>
        <v>367.21034485333331</v>
      </c>
      <c r="F20" s="255" t="s">
        <v>76</v>
      </c>
      <c r="G20" s="255"/>
      <c r="H20" s="255"/>
      <c r="I20" s="255"/>
      <c r="J20" s="255"/>
      <c r="K20" s="147"/>
    </row>
    <row r="21" spans="1:11" ht="15" customHeight="1" x14ac:dyDescent="0.3">
      <c r="A21" s="38">
        <v>19</v>
      </c>
      <c r="B21" s="73">
        <f t="shared" si="2"/>
        <v>1051.3858577777778</v>
      </c>
      <c r="C21" s="74">
        <f t="shared" si="0"/>
        <v>648.98571428571427</v>
      </c>
      <c r="D21" s="73">
        <f t="shared" si="1"/>
        <v>348.84982761066664</v>
      </c>
      <c r="F21" s="255"/>
      <c r="G21" s="255"/>
      <c r="H21" s="255"/>
      <c r="I21" s="255"/>
      <c r="J21" s="255"/>
      <c r="K21" s="147"/>
    </row>
    <row r="22" spans="1:11" ht="15" customHeight="1" thickBot="1" x14ac:dyDescent="0.35">
      <c r="A22" s="38">
        <v>18</v>
      </c>
      <c r="B22" s="73">
        <f t="shared" si="2"/>
        <v>996.04975999999999</v>
      </c>
      <c r="C22" s="74">
        <f t="shared" si="0"/>
        <v>614.82857142857154</v>
      </c>
      <c r="D22" s="73">
        <f t="shared" si="1"/>
        <v>330.48931036799996</v>
      </c>
      <c r="F22" s="35"/>
      <c r="G22" s="19"/>
      <c r="H22" s="8"/>
      <c r="I22" s="115"/>
      <c r="J22" s="8"/>
      <c r="K22" s="8"/>
    </row>
    <row r="23" spans="1:11" ht="15" customHeight="1" x14ac:dyDescent="0.3">
      <c r="A23" s="38">
        <v>17</v>
      </c>
      <c r="B23" s="73">
        <f t="shared" si="2"/>
        <v>940.71366222222241</v>
      </c>
      <c r="C23" s="74">
        <f t="shared" si="0"/>
        <v>580.67142857142846</v>
      </c>
      <c r="D23" s="73">
        <f t="shared" si="1"/>
        <v>312.1287931253334</v>
      </c>
      <c r="F23" s="234" t="s">
        <v>64</v>
      </c>
      <c r="G23" s="234"/>
      <c r="H23" s="235"/>
      <c r="I23" s="236">
        <v>0</v>
      </c>
      <c r="J23" s="8"/>
      <c r="K23" s="8"/>
    </row>
    <row r="24" spans="1:11" ht="15" customHeight="1" thickBot="1" x14ac:dyDescent="0.35">
      <c r="A24" s="38">
        <v>16</v>
      </c>
      <c r="B24" s="73">
        <f t="shared" si="2"/>
        <v>885.37756444444449</v>
      </c>
      <c r="C24" s="74">
        <f t="shared" si="0"/>
        <v>546.51428571428573</v>
      </c>
      <c r="D24" s="73">
        <f t="shared" si="1"/>
        <v>293.76827588266667</v>
      </c>
      <c r="F24" s="234"/>
      <c r="G24" s="234"/>
      <c r="H24" s="235"/>
      <c r="I24" s="237"/>
      <c r="J24" s="8"/>
      <c r="K24" s="8"/>
    </row>
    <row r="25" spans="1:11" ht="15" customHeight="1" thickBot="1" x14ac:dyDescent="0.35">
      <c r="A25" s="38">
        <v>15</v>
      </c>
      <c r="B25" s="73">
        <f t="shared" si="2"/>
        <v>830.04146666666679</v>
      </c>
      <c r="C25" s="74">
        <f t="shared" si="0"/>
        <v>512.35714285714278</v>
      </c>
      <c r="D25" s="73">
        <f t="shared" si="1"/>
        <v>275.40775864000005</v>
      </c>
      <c r="F25" s="35"/>
      <c r="G25" s="19"/>
      <c r="H25" s="8"/>
      <c r="I25" s="115"/>
      <c r="J25" s="8"/>
      <c r="K25" s="8"/>
    </row>
    <row r="26" spans="1:11" ht="15" customHeight="1" x14ac:dyDescent="0.3">
      <c r="A26" s="38">
        <v>14</v>
      </c>
      <c r="B26" s="73">
        <f t="shared" si="2"/>
        <v>774.70536888888898</v>
      </c>
      <c r="C26" s="74">
        <f t="shared" si="0"/>
        <v>478.2000000000001</v>
      </c>
      <c r="D26" s="73">
        <f t="shared" si="1"/>
        <v>257.04724139733338</v>
      </c>
      <c r="F26" s="234" t="s">
        <v>68</v>
      </c>
      <c r="G26" s="234"/>
      <c r="H26" s="235"/>
      <c r="I26" s="238">
        <v>0</v>
      </c>
      <c r="J26" s="8"/>
      <c r="K26" s="8"/>
    </row>
    <row r="27" spans="1:11" ht="15" customHeight="1" thickBot="1" x14ac:dyDescent="0.35">
      <c r="A27" s="38">
        <v>13</v>
      </c>
      <c r="B27" s="73">
        <f t="shared" si="2"/>
        <v>719.36927111111117</v>
      </c>
      <c r="C27" s="74">
        <f t="shared" si="0"/>
        <v>444.04285714285714</v>
      </c>
      <c r="D27" s="73">
        <f t="shared" si="1"/>
        <v>238.68672415466668</v>
      </c>
      <c r="F27" s="234"/>
      <c r="G27" s="234"/>
      <c r="H27" s="235"/>
      <c r="I27" s="239"/>
      <c r="J27" s="8"/>
      <c r="K27" s="8"/>
    </row>
    <row r="28" spans="1:11" ht="15" customHeight="1" thickBot="1" x14ac:dyDescent="0.35">
      <c r="A28" s="38">
        <v>12</v>
      </c>
      <c r="B28" s="73">
        <f t="shared" si="2"/>
        <v>664.03317333333337</v>
      </c>
      <c r="C28" s="74">
        <f t="shared" si="0"/>
        <v>409.88571428571424</v>
      </c>
      <c r="D28" s="73">
        <f t="shared" si="1"/>
        <v>220.326206912</v>
      </c>
      <c r="F28" s="35"/>
      <c r="G28" s="19"/>
      <c r="H28" s="8"/>
      <c r="I28" s="115"/>
      <c r="J28" s="8"/>
      <c r="K28" s="8"/>
    </row>
    <row r="29" spans="1:11" ht="15" customHeight="1" x14ac:dyDescent="0.3">
      <c r="A29" s="38">
        <v>11</v>
      </c>
      <c r="B29" s="73">
        <f t="shared" si="2"/>
        <v>608.69707555555567</v>
      </c>
      <c r="C29" s="74">
        <f t="shared" si="0"/>
        <v>375.7285714285714</v>
      </c>
      <c r="D29" s="73">
        <f t="shared" si="1"/>
        <v>201.96568966933336</v>
      </c>
      <c r="F29" s="240" t="s">
        <v>65</v>
      </c>
      <c r="G29" s="241"/>
      <c r="H29" s="241"/>
      <c r="I29" s="242"/>
      <c r="J29" s="8"/>
      <c r="K29" s="8"/>
    </row>
    <row r="30" spans="1:11" ht="15" customHeight="1" thickBot="1" x14ac:dyDescent="0.35">
      <c r="A30" s="38">
        <v>10</v>
      </c>
      <c r="B30" s="73">
        <f t="shared" si="2"/>
        <v>553.36097777777775</v>
      </c>
      <c r="C30" s="74">
        <f t="shared" si="0"/>
        <v>341.57142857142861</v>
      </c>
      <c r="D30" s="73">
        <f t="shared" si="1"/>
        <v>183.60517242666666</v>
      </c>
      <c r="F30" s="243"/>
      <c r="G30" s="244"/>
      <c r="H30" s="244"/>
      <c r="I30" s="245"/>
      <c r="J30" s="8"/>
      <c r="K30" s="8"/>
    </row>
    <row r="31" spans="1:11" ht="15" customHeight="1" thickBot="1" x14ac:dyDescent="0.35">
      <c r="A31" s="38">
        <v>9</v>
      </c>
      <c r="B31" s="73">
        <f t="shared" si="2"/>
        <v>498.02488</v>
      </c>
      <c r="C31" s="74">
        <f t="shared" si="0"/>
        <v>307.41428571428577</v>
      </c>
      <c r="D31" s="73">
        <f t="shared" si="1"/>
        <v>165.24465518399998</v>
      </c>
      <c r="F31" s="137" t="s">
        <v>69</v>
      </c>
      <c r="G31" s="135" t="s">
        <v>55</v>
      </c>
      <c r="H31" s="133" t="s">
        <v>70</v>
      </c>
      <c r="I31" s="119" t="s">
        <v>57</v>
      </c>
      <c r="J31" s="8"/>
      <c r="K31" s="8"/>
    </row>
    <row r="32" spans="1:11" ht="15" customHeight="1" x14ac:dyDescent="0.3">
      <c r="A32" s="38">
        <v>8</v>
      </c>
      <c r="B32" s="73">
        <f t="shared" si="2"/>
        <v>442.68878222222224</v>
      </c>
      <c r="C32" s="74">
        <f t="shared" si="0"/>
        <v>273.25714285714287</v>
      </c>
      <c r="D32" s="73">
        <f t="shared" si="1"/>
        <v>146.88413794133334</v>
      </c>
      <c r="F32" s="312">
        <f>((I23/37.5*7.5*5)/7)*30*$C$43</f>
        <v>0</v>
      </c>
      <c r="G32" s="228">
        <f>IF(I26&lt;F32,F32,I26)</f>
        <v>0</v>
      </c>
      <c r="H32" s="230">
        <v>33.18</v>
      </c>
      <c r="I32" s="232">
        <f>G32*H32%</f>
        <v>0</v>
      </c>
      <c r="J32" s="8"/>
      <c r="K32" s="8"/>
    </row>
    <row r="33" spans="1:11" ht="15" customHeight="1" thickBot="1" x14ac:dyDescent="0.35">
      <c r="A33" s="38">
        <v>7</v>
      </c>
      <c r="B33" s="73">
        <f t="shared" si="2"/>
        <v>387.35268444444449</v>
      </c>
      <c r="C33" s="74">
        <f t="shared" si="0"/>
        <v>239.10000000000005</v>
      </c>
      <c r="D33" s="73">
        <f t="shared" si="1"/>
        <v>128.52362069866669</v>
      </c>
      <c r="F33" s="227"/>
      <c r="G33" s="229"/>
      <c r="H33" s="231"/>
      <c r="I33" s="233"/>
      <c r="J33" s="8"/>
      <c r="K33" s="8"/>
    </row>
    <row r="34" spans="1:11" ht="15" customHeight="1" thickBot="1" x14ac:dyDescent="0.35">
      <c r="A34" s="38">
        <v>6</v>
      </c>
      <c r="B34" s="73">
        <f t="shared" si="2"/>
        <v>332.01658666666668</v>
      </c>
      <c r="C34" s="74">
        <f t="shared" si="0"/>
        <v>204.94285714285712</v>
      </c>
      <c r="D34" s="73">
        <f t="shared" si="1"/>
        <v>110.163103456</v>
      </c>
      <c r="F34" s="221" t="s">
        <v>66</v>
      </c>
      <c r="G34" s="222"/>
      <c r="H34" s="223"/>
      <c r="I34" s="130">
        <f>SUM(I32)</f>
        <v>0</v>
      </c>
      <c r="J34" s="8"/>
      <c r="K34" s="8"/>
    </row>
    <row r="35" spans="1:11" ht="15" customHeight="1" x14ac:dyDescent="0.3">
      <c r="A35" s="38">
        <v>5</v>
      </c>
      <c r="B35" s="73">
        <f t="shared" si="2"/>
        <v>276.68048888888887</v>
      </c>
      <c r="C35" s="74">
        <f t="shared" si="0"/>
        <v>170.78571428571431</v>
      </c>
      <c r="D35" s="73">
        <f t="shared" si="1"/>
        <v>91.802586213333328</v>
      </c>
      <c r="F35" s="35"/>
      <c r="G35" s="19"/>
      <c r="H35" s="8"/>
      <c r="I35" s="115"/>
      <c r="J35" s="8"/>
      <c r="K35" s="136"/>
    </row>
    <row r="36" spans="1:11" ht="15" customHeight="1" x14ac:dyDescent="0.3">
      <c r="A36" s="38">
        <v>4</v>
      </c>
      <c r="B36" s="73">
        <f t="shared" si="2"/>
        <v>221.34439111111112</v>
      </c>
      <c r="C36" s="74">
        <f t="shared" si="0"/>
        <v>136.62857142857143</v>
      </c>
      <c r="D36" s="73">
        <f t="shared" si="1"/>
        <v>73.442068970666668</v>
      </c>
      <c r="F36" s="296" t="s">
        <v>67</v>
      </c>
      <c r="G36" s="296"/>
      <c r="H36" s="296"/>
      <c r="I36" s="225" t="s">
        <v>101</v>
      </c>
      <c r="K36" s="136"/>
    </row>
    <row r="37" spans="1:11" ht="15" customHeight="1" x14ac:dyDescent="0.3">
      <c r="A37" s="38">
        <v>3</v>
      </c>
      <c r="B37" s="73">
        <f t="shared" si="2"/>
        <v>166.00829333333334</v>
      </c>
      <c r="C37" s="74">
        <f t="shared" si="0"/>
        <v>102.47142857142856</v>
      </c>
      <c r="D37" s="73">
        <f t="shared" si="1"/>
        <v>55.081551728000001</v>
      </c>
      <c r="F37" s="296"/>
      <c r="G37" s="296"/>
      <c r="H37" s="296"/>
      <c r="I37" s="225"/>
      <c r="K37" s="136"/>
    </row>
    <row r="38" spans="1:11" ht="15" customHeight="1" x14ac:dyDescent="0.3">
      <c r="A38" s="38">
        <v>2</v>
      </c>
      <c r="B38" s="73">
        <f t="shared" si="2"/>
        <v>110.67219555555556</v>
      </c>
      <c r="C38" s="74">
        <f t="shared" si="0"/>
        <v>68.314285714285717</v>
      </c>
      <c r="D38" s="73">
        <f t="shared" si="1"/>
        <v>36.721034485333334</v>
      </c>
    </row>
    <row r="39" spans="1:11" ht="15" customHeight="1" x14ac:dyDescent="0.3">
      <c r="A39" s="39">
        <v>1</v>
      </c>
      <c r="B39" s="75">
        <f t="shared" si="2"/>
        <v>55.33609777777778</v>
      </c>
      <c r="C39" s="76">
        <f t="shared" si="0"/>
        <v>34.157142857142858</v>
      </c>
      <c r="D39" s="75">
        <f t="shared" si="1"/>
        <v>18.360517242666667</v>
      </c>
    </row>
    <row r="41" spans="1:11" hidden="1" x14ac:dyDescent="0.3">
      <c r="C41" s="212" t="s">
        <v>93</v>
      </c>
    </row>
    <row r="42" spans="1:11" ht="13.5" hidden="1" thickBot="1" x14ac:dyDescent="0.35"/>
    <row r="43" spans="1:11" ht="36" hidden="1" customHeight="1" thickBot="1" x14ac:dyDescent="0.3">
      <c r="B43" s="208" t="s">
        <v>17</v>
      </c>
      <c r="C43" s="209">
        <v>7.97</v>
      </c>
    </row>
    <row r="44" spans="1:11" hidden="1" x14ac:dyDescent="0.3"/>
    <row r="45" spans="1:11" hidden="1" x14ac:dyDescent="0.3"/>
    <row r="46" spans="1:11" hidden="1" x14ac:dyDescent="0.3"/>
    <row r="47" spans="1:11" hidden="1" x14ac:dyDescent="0.3"/>
    <row r="48" spans="1:11" hidden="1" x14ac:dyDescent="0.3"/>
  </sheetData>
  <sheetProtection algorithmName="SHA-512" hashValue="y2y3dAa3LyF8+Elt/t4gFWfj6vNrQ6b1CK6zPhJs6wLCo9yY4TFxd1xxmF6aCS8AyyczViuIZaKEqkY74wyYXg==" saltValue="JJB4QU/74hlAW0GyUrc+JA==" spinCount="100000" sheet="1" objects="1" scenarios="1"/>
  <protectedRanges>
    <protectedRange sqref="I36" name="CALCULO RC"/>
    <protectedRange sqref="I8" name="RET TP_1"/>
    <protectedRange sqref="I23" name="DED_1"/>
    <protectedRange sqref="I26" name="RET TP_2"/>
  </protectedRanges>
  <mergeCells count="33">
    <mergeCell ref="I36:I37"/>
    <mergeCell ref="H16:H17"/>
    <mergeCell ref="F36:H37"/>
    <mergeCell ref="F20:J21"/>
    <mergeCell ref="F32:F33"/>
    <mergeCell ref="G32:G33"/>
    <mergeCell ref="H32:H33"/>
    <mergeCell ref="I32:I33"/>
    <mergeCell ref="F34:H34"/>
    <mergeCell ref="F23:H24"/>
    <mergeCell ref="I23:I24"/>
    <mergeCell ref="F26:H27"/>
    <mergeCell ref="I26:I27"/>
    <mergeCell ref="F29:I30"/>
    <mergeCell ref="F16:F17"/>
    <mergeCell ref="G16:G17"/>
    <mergeCell ref="I16:I17"/>
    <mergeCell ref="F18:G18"/>
    <mergeCell ref="F8:H9"/>
    <mergeCell ref="I8:I9"/>
    <mergeCell ref="F11:I12"/>
    <mergeCell ref="F14:F15"/>
    <mergeCell ref="G14:G15"/>
    <mergeCell ref="H14:H15"/>
    <mergeCell ref="I14:I15"/>
    <mergeCell ref="A1:D1"/>
    <mergeCell ref="F2:H2"/>
    <mergeCell ref="I2:J2"/>
    <mergeCell ref="F4:F5"/>
    <mergeCell ref="G4:G5"/>
    <mergeCell ref="H4:H5"/>
    <mergeCell ref="I4:I5"/>
    <mergeCell ref="J4:J5"/>
  </mergeCells>
  <phoneticPr fontId="0" type="noConversion"/>
  <hyperlinks>
    <hyperlink ref="I36:I37" r:id="rId1" display="CALCULO RC" xr:uid="{00000000-0004-0000-0700-000000000000}"/>
  </hyperlinks>
  <printOptions horizontalCentered="1"/>
  <pageMargins left="1.71875" right="0.94488188976377963" top="0" bottom="0.39370078740157483" header="0" footer="0"/>
  <pageSetup paperSize="9" orientation="landscape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published="0"/>
  <dimension ref="A1:K66"/>
  <sheetViews>
    <sheetView topLeftCell="A28" workbookViewId="0">
      <selection activeCell="A31" sqref="A31"/>
    </sheetView>
  </sheetViews>
  <sheetFormatPr baseColWidth="10" defaultColWidth="11.453125" defaultRowHeight="13.5" x14ac:dyDescent="0.3"/>
  <cols>
    <col min="1" max="1" width="35.54296875" style="8" customWidth="1"/>
    <col min="2" max="3" width="18.1796875" style="99" customWidth="1"/>
    <col min="4" max="4" width="23.54296875" style="8" bestFit="1" customWidth="1"/>
    <col min="5" max="5" width="32" style="8" bestFit="1" customWidth="1"/>
    <col min="6" max="6" width="11.453125" style="8"/>
    <col min="7" max="7" width="32" style="8" bestFit="1" customWidth="1"/>
    <col min="8" max="8" width="14.453125" style="94" bestFit="1" customWidth="1"/>
    <col min="9" max="9" width="11.453125" style="8"/>
    <col min="10" max="11" width="20.81640625" style="8" bestFit="1" customWidth="1"/>
    <col min="12" max="16384" width="11.453125" style="8"/>
  </cols>
  <sheetData>
    <row r="1" spans="1:8" s="21" customFormat="1" ht="27.5" thickBot="1" x14ac:dyDescent="0.3">
      <c r="A1" s="26" t="s">
        <v>0</v>
      </c>
      <c r="B1" s="87" t="s">
        <v>12</v>
      </c>
      <c r="C1" s="87" t="s">
        <v>10</v>
      </c>
      <c r="H1" s="89"/>
    </row>
    <row r="2" spans="1:8" ht="16.5" customHeight="1" x14ac:dyDescent="0.3">
      <c r="A2" s="11" t="s">
        <v>33</v>
      </c>
      <c r="B2" s="96">
        <f>B16</f>
        <v>2770.1867375000002</v>
      </c>
      <c r="C2" s="96">
        <f>C16</f>
        <v>3601.2424875000006</v>
      </c>
      <c r="D2" s="9"/>
      <c r="E2" s="9"/>
      <c r="G2" s="10"/>
      <c r="H2" s="90"/>
    </row>
    <row r="3" spans="1:8" ht="16.5" customHeight="1" x14ac:dyDescent="0.3">
      <c r="A3" s="11" t="s">
        <v>32</v>
      </c>
      <c r="B3" s="96">
        <f>B23</f>
        <v>2275.5108249999998</v>
      </c>
      <c r="C3" s="96">
        <f>C23</f>
        <v>2958.1629874999994</v>
      </c>
      <c r="D3" s="9"/>
      <c r="E3" s="9"/>
      <c r="G3" s="10"/>
      <c r="H3" s="90"/>
    </row>
    <row r="4" spans="1:8" ht="16.5" customHeight="1" x14ac:dyDescent="0.3">
      <c r="A4" s="11" t="s">
        <v>31</v>
      </c>
      <c r="B4" s="96">
        <f>B30</f>
        <v>0</v>
      </c>
      <c r="C4" s="96">
        <f>C30</f>
        <v>0</v>
      </c>
      <c r="D4" s="16"/>
      <c r="E4" s="16"/>
      <c r="F4" s="34"/>
    </row>
    <row r="5" spans="1:8" ht="16.5" customHeight="1" x14ac:dyDescent="0.3">
      <c r="A5" s="11" t="s">
        <v>39</v>
      </c>
      <c r="B5" s="96">
        <f>B37</f>
        <v>1681.8991875000002</v>
      </c>
      <c r="C5" s="96">
        <f>C37</f>
        <v>2186.4684916666665</v>
      </c>
      <c r="D5" s="34"/>
      <c r="E5" s="34"/>
      <c r="F5" s="132"/>
    </row>
    <row r="6" spans="1:8" ht="16.5" customHeight="1" x14ac:dyDescent="0.3">
      <c r="A6" s="11" t="s">
        <v>40</v>
      </c>
      <c r="B6" s="96">
        <f>B44</f>
        <v>1582.9634625000001</v>
      </c>
      <c r="C6" s="96">
        <f>C44</f>
        <v>2057.8525916666667</v>
      </c>
      <c r="E6" s="34"/>
      <c r="F6" s="132"/>
    </row>
    <row r="7" spans="1:8" ht="18" customHeight="1" x14ac:dyDescent="0.3">
      <c r="A7" s="11" t="s">
        <v>41</v>
      </c>
      <c r="B7" s="96">
        <f>B51</f>
        <v>1484.0286416666668</v>
      </c>
      <c r="C7" s="96">
        <f>C51</f>
        <v>1929.237595833333</v>
      </c>
      <c r="E7" s="34"/>
      <c r="F7" s="132"/>
    </row>
    <row r="8" spans="1:8" ht="18.75" customHeight="1" x14ac:dyDescent="0.3">
      <c r="A8" s="11" t="s">
        <v>38</v>
      </c>
      <c r="B8" s="96">
        <f>F33</f>
        <v>2416.2473333333332</v>
      </c>
      <c r="C8" s="96"/>
      <c r="E8" s="34"/>
      <c r="F8" s="132"/>
    </row>
    <row r="9" spans="1:8" ht="19.5" customHeight="1" thickBot="1" x14ac:dyDescent="0.35">
      <c r="A9" s="22" t="s">
        <v>35</v>
      </c>
      <c r="B9" s="97">
        <f>F21</f>
        <v>2075.1036666666669</v>
      </c>
      <c r="C9" s="97"/>
      <c r="E9" s="34"/>
      <c r="F9" s="34"/>
    </row>
    <row r="10" spans="1:8" x14ac:dyDescent="0.3">
      <c r="A10" s="23"/>
      <c r="B10" s="98"/>
      <c r="C10" s="98"/>
      <c r="E10" s="34"/>
      <c r="F10" s="34"/>
    </row>
    <row r="11" spans="1:8" x14ac:dyDescent="0.3">
      <c r="E11" s="16"/>
      <c r="F11" s="16"/>
    </row>
    <row r="12" spans="1:8" ht="14" thickBot="1" x14ac:dyDescent="0.35">
      <c r="A12" s="14"/>
      <c r="D12" s="14"/>
      <c r="E12" s="17"/>
      <c r="F12" s="17"/>
    </row>
    <row r="13" spans="1:8" ht="27.5" thickBot="1" x14ac:dyDescent="0.35">
      <c r="A13" s="143" t="s">
        <v>33</v>
      </c>
      <c r="B13" s="144" t="s">
        <v>9</v>
      </c>
      <c r="C13" s="145" t="s">
        <v>11</v>
      </c>
      <c r="D13" s="14"/>
      <c r="E13" s="340" t="s">
        <v>29</v>
      </c>
      <c r="F13" s="341"/>
    </row>
    <row r="14" spans="1:8" ht="16.5" customHeight="1" thickTop="1" x14ac:dyDescent="0.3">
      <c r="A14" s="24" t="s">
        <v>13</v>
      </c>
      <c r="B14" s="100">
        <f>(D58)/12</f>
        <v>2680.825875</v>
      </c>
      <c r="C14" s="101">
        <f>(E58)/12</f>
        <v>3485.0733750000004</v>
      </c>
      <c r="D14" s="14"/>
      <c r="E14" s="32" t="s">
        <v>1</v>
      </c>
      <c r="F14" s="91">
        <v>702.92</v>
      </c>
    </row>
    <row r="15" spans="1:8" ht="16.5" customHeight="1" x14ac:dyDescent="0.3">
      <c r="A15" s="24" t="s">
        <v>3</v>
      </c>
      <c r="B15" s="100">
        <f>B14/30*12/12</f>
        <v>89.360862499999996</v>
      </c>
      <c r="C15" s="101">
        <f>C14/30*12/12</f>
        <v>116.16911250000003</v>
      </c>
      <c r="D15" s="14"/>
      <c r="E15" s="32" t="s">
        <v>6</v>
      </c>
      <c r="F15" s="91">
        <v>357.81</v>
      </c>
    </row>
    <row r="16" spans="1:8" ht="16.5" customHeight="1" x14ac:dyDescent="0.3">
      <c r="A16" s="25" t="s">
        <v>30</v>
      </c>
      <c r="B16" s="102">
        <f>SUM(B14:B15)</f>
        <v>2770.1867375000002</v>
      </c>
      <c r="C16" s="103">
        <f>SUM(C14:C15)</f>
        <v>3601.2424875000006</v>
      </c>
      <c r="D16" s="14"/>
      <c r="E16" s="32" t="s">
        <v>7</v>
      </c>
      <c r="F16" s="91">
        <v>659.03</v>
      </c>
    </row>
    <row r="17" spans="1:8" ht="16.5" customHeight="1" x14ac:dyDescent="0.3">
      <c r="A17" s="14"/>
      <c r="B17" s="99">
        <f>B16*12</f>
        <v>33242.240850000002</v>
      </c>
      <c r="C17" s="99">
        <f>C16*12</f>
        <v>43214.909850000011</v>
      </c>
      <c r="D17" s="14"/>
      <c r="E17" s="218" t="s">
        <v>111</v>
      </c>
      <c r="F17" s="219">
        <f>SUM(F14:F16)/30*12/12</f>
        <v>57.325333333333333</v>
      </c>
      <c r="G17" s="220" t="s">
        <v>112</v>
      </c>
    </row>
    <row r="18" spans="1:8" x14ac:dyDescent="0.3">
      <c r="A18" s="14"/>
      <c r="D18" s="14"/>
      <c r="E18" s="32" t="s">
        <v>42</v>
      </c>
      <c r="F18" s="91">
        <v>74.760000000000005</v>
      </c>
    </row>
    <row r="19" spans="1:8" x14ac:dyDescent="0.3">
      <c r="A19" s="14"/>
      <c r="D19" s="14"/>
      <c r="E19" s="32"/>
      <c r="F19" s="92"/>
    </row>
    <row r="20" spans="1:8" ht="27.5" thickBot="1" x14ac:dyDescent="0.35">
      <c r="A20" s="143" t="s">
        <v>32</v>
      </c>
      <c r="B20" s="144" t="s">
        <v>9</v>
      </c>
      <c r="C20" s="145" t="s">
        <v>11</v>
      </c>
      <c r="D20" s="14"/>
      <c r="E20" s="32" t="s">
        <v>2</v>
      </c>
      <c r="F20" s="91">
        <f>(696.51+F15+F16)/6</f>
        <v>285.55833333333334</v>
      </c>
    </row>
    <row r="21" spans="1:8" ht="16.5" customHeight="1" thickTop="1" thickBot="1" x14ac:dyDescent="0.35">
      <c r="A21" s="24" t="s">
        <v>13</v>
      </c>
      <c r="B21" s="100">
        <f>(D59)/12</f>
        <v>2202.10725</v>
      </c>
      <c r="C21" s="101">
        <f>(E59)/12</f>
        <v>2862.7383749999995</v>
      </c>
      <c r="D21" s="14"/>
      <c r="E21" s="15" t="s">
        <v>36</v>
      </c>
      <c r="F21" s="93">
        <f>SUM(F14:F17)+(F18/6)+F20</f>
        <v>2075.1036666666669</v>
      </c>
      <c r="G21" s="17"/>
      <c r="H21" s="95"/>
    </row>
    <row r="22" spans="1:8" ht="16.5" customHeight="1" x14ac:dyDescent="0.3">
      <c r="A22" s="24" t="s">
        <v>3</v>
      </c>
      <c r="B22" s="100">
        <f>B21/30*12/12</f>
        <v>73.403575000000004</v>
      </c>
      <c r="C22" s="101">
        <f>C21/30*12/12</f>
        <v>95.424612499999981</v>
      </c>
      <c r="D22" s="14"/>
      <c r="F22" s="94">
        <f>F21*12</f>
        <v>24901.244000000002</v>
      </c>
    </row>
    <row r="23" spans="1:8" ht="16.5" customHeight="1" x14ac:dyDescent="0.3">
      <c r="A23" s="25" t="s">
        <v>30</v>
      </c>
      <c r="B23" s="102">
        <f>SUM(B21:B22)</f>
        <v>2275.5108249999998</v>
      </c>
      <c r="C23" s="103">
        <f>SUM(C21:C22)</f>
        <v>2958.1629874999994</v>
      </c>
      <c r="D23" s="14"/>
      <c r="F23" s="94"/>
    </row>
    <row r="24" spans="1:8" ht="14" thickBot="1" x14ac:dyDescent="0.35">
      <c r="A24" s="14"/>
      <c r="B24" s="99">
        <f>B23*12</f>
        <v>27306.1299</v>
      </c>
      <c r="C24" s="99">
        <f>C23*12</f>
        <v>35497.955849999991</v>
      </c>
      <c r="D24" s="14"/>
      <c r="F24" s="94"/>
    </row>
    <row r="25" spans="1:8" ht="19.5" customHeight="1" thickBot="1" x14ac:dyDescent="0.35">
      <c r="A25" s="14"/>
      <c r="D25" s="14"/>
      <c r="E25" s="340" t="s">
        <v>28</v>
      </c>
      <c r="F25" s="341"/>
    </row>
    <row r="26" spans="1:8" x14ac:dyDescent="0.3">
      <c r="B26" s="104"/>
      <c r="C26" s="104"/>
      <c r="D26" s="18"/>
      <c r="E26" s="32" t="s">
        <v>1</v>
      </c>
      <c r="F26" s="91">
        <v>844.58</v>
      </c>
    </row>
    <row r="27" spans="1:8" ht="27.5" thickBot="1" x14ac:dyDescent="0.35">
      <c r="A27" s="146" t="s">
        <v>31</v>
      </c>
      <c r="B27" s="144" t="s">
        <v>9</v>
      </c>
      <c r="C27" s="145" t="s">
        <v>11</v>
      </c>
      <c r="D27" s="13"/>
      <c r="E27" s="32" t="s">
        <v>4</v>
      </c>
      <c r="F27" s="91">
        <v>463.11</v>
      </c>
    </row>
    <row r="28" spans="1:8" ht="16.5" customHeight="1" thickTop="1" x14ac:dyDescent="0.3">
      <c r="A28" s="24" t="s">
        <v>13</v>
      </c>
      <c r="B28" s="100">
        <f>(D60)/12</f>
        <v>0</v>
      </c>
      <c r="C28" s="101">
        <f>(E60)/12</f>
        <v>0</v>
      </c>
      <c r="D28" s="13"/>
      <c r="E28" s="32" t="s">
        <v>5</v>
      </c>
      <c r="F28" s="91">
        <v>708.33</v>
      </c>
    </row>
    <row r="29" spans="1:8" ht="16.5" customHeight="1" x14ac:dyDescent="0.3">
      <c r="A29" s="24" t="s">
        <v>3</v>
      </c>
      <c r="B29" s="100">
        <v>0</v>
      </c>
      <c r="C29" s="101">
        <v>0</v>
      </c>
      <c r="D29" s="13"/>
      <c r="E29" s="32" t="s">
        <v>3</v>
      </c>
      <c r="F29" s="91">
        <f>SUM(F26:F28)/30*12/12</f>
        <v>67.200666666666663</v>
      </c>
      <c r="G29" s="8" t="s">
        <v>18</v>
      </c>
    </row>
    <row r="30" spans="1:8" ht="16.5" customHeight="1" x14ac:dyDescent="0.3">
      <c r="A30" s="25" t="s">
        <v>30</v>
      </c>
      <c r="B30" s="102">
        <f>SUM(B28:B29)</f>
        <v>0</v>
      </c>
      <c r="C30" s="103">
        <f>SUM(C28:C29)</f>
        <v>0</v>
      </c>
      <c r="D30" s="13"/>
      <c r="E30" s="32" t="s">
        <v>42</v>
      </c>
      <c r="F30" s="91">
        <v>96.76</v>
      </c>
    </row>
    <row r="31" spans="1:8" x14ac:dyDescent="0.3">
      <c r="A31" s="17"/>
      <c r="B31" s="105"/>
      <c r="C31" s="105"/>
      <c r="D31" s="13"/>
      <c r="E31" s="32"/>
      <c r="F31" s="92"/>
    </row>
    <row r="32" spans="1:8" x14ac:dyDescent="0.3">
      <c r="A32" s="17"/>
      <c r="B32" s="105"/>
      <c r="C32" s="105"/>
      <c r="D32" s="13"/>
      <c r="E32" s="32" t="s">
        <v>2</v>
      </c>
      <c r="F32" s="91">
        <f>(729.96+F27+F28)/6</f>
        <v>316.90000000000003</v>
      </c>
    </row>
    <row r="33" spans="1:6" ht="14" thickBot="1" x14ac:dyDescent="0.35">
      <c r="E33" s="15" t="s">
        <v>37</v>
      </c>
      <c r="F33" s="93">
        <f>SUM(F26:F29)+(F30/6)+F32</f>
        <v>2416.2473333333332</v>
      </c>
    </row>
    <row r="34" spans="1:6" ht="27.5" thickBot="1" x14ac:dyDescent="0.35">
      <c r="A34" s="143" t="s">
        <v>39</v>
      </c>
      <c r="B34" s="144" t="s">
        <v>9</v>
      </c>
      <c r="C34" s="145" t="s">
        <v>11</v>
      </c>
      <c r="D34" s="13"/>
      <c r="F34" s="8">
        <f>F33*12</f>
        <v>28994.968000000001</v>
      </c>
    </row>
    <row r="35" spans="1:6" ht="16.5" customHeight="1" thickTop="1" x14ac:dyDescent="0.3">
      <c r="A35" s="24" t="s">
        <v>13</v>
      </c>
      <c r="B35" s="100">
        <f>(D62)/12</f>
        <v>1627.6443750000001</v>
      </c>
      <c r="C35" s="101">
        <f>(E62)/12</f>
        <v>2115.9372499999999</v>
      </c>
      <c r="D35" s="13"/>
    </row>
    <row r="36" spans="1:6" ht="16.5" customHeight="1" x14ac:dyDescent="0.3">
      <c r="A36" s="24" t="s">
        <v>3</v>
      </c>
      <c r="B36" s="100">
        <f>B35/30*12/12</f>
        <v>54.254812499999993</v>
      </c>
      <c r="C36" s="101">
        <f>C35/30*12/12</f>
        <v>70.531241666666659</v>
      </c>
      <c r="D36" s="13"/>
    </row>
    <row r="37" spans="1:6" ht="16.5" customHeight="1" x14ac:dyDescent="0.3">
      <c r="A37" s="25" t="s">
        <v>30</v>
      </c>
      <c r="B37" s="102">
        <f>SUM(B35:B36)</f>
        <v>1681.8991875000002</v>
      </c>
      <c r="C37" s="103">
        <f>SUM(C35:C36)</f>
        <v>2186.4684916666665</v>
      </c>
      <c r="D37" s="13"/>
    </row>
    <row r="38" spans="1:6" x14ac:dyDescent="0.3">
      <c r="A38" s="17"/>
      <c r="B38" s="105">
        <f>B37*12</f>
        <v>20182.790250000002</v>
      </c>
      <c r="C38" s="105">
        <f>C37*12</f>
        <v>26237.621899999998</v>
      </c>
      <c r="D38" s="13"/>
    </row>
    <row r="39" spans="1:6" x14ac:dyDescent="0.3">
      <c r="A39" s="17"/>
      <c r="B39" s="105"/>
      <c r="C39" s="105"/>
      <c r="D39" s="13"/>
    </row>
    <row r="40" spans="1:6" x14ac:dyDescent="0.3">
      <c r="B40" s="104"/>
      <c r="C40" s="104"/>
      <c r="D40" s="13"/>
    </row>
    <row r="41" spans="1:6" ht="27.5" thickBot="1" x14ac:dyDescent="0.35">
      <c r="A41" s="143" t="s">
        <v>40</v>
      </c>
      <c r="B41" s="144" t="s">
        <v>9</v>
      </c>
      <c r="C41" s="145" t="s">
        <v>11</v>
      </c>
      <c r="D41" s="13"/>
    </row>
    <row r="42" spans="1:6" ht="16.5" customHeight="1" thickTop="1" x14ac:dyDescent="0.3">
      <c r="A42" s="24" t="s">
        <v>13</v>
      </c>
      <c r="B42" s="100">
        <f>(D63)/12</f>
        <v>1531.9001250000001</v>
      </c>
      <c r="C42" s="101">
        <f>(E63)/12</f>
        <v>1991.4702500000001</v>
      </c>
      <c r="D42" s="13"/>
    </row>
    <row r="43" spans="1:6" ht="16.5" customHeight="1" x14ac:dyDescent="0.3">
      <c r="A43" s="24" t="s">
        <v>8</v>
      </c>
      <c r="B43" s="100">
        <f>B42/30*12/12</f>
        <v>51.06333750000001</v>
      </c>
      <c r="C43" s="101">
        <f>C42/30*12/12</f>
        <v>66.382341666666676</v>
      </c>
      <c r="D43" s="13"/>
    </row>
    <row r="44" spans="1:6" ht="16.5" customHeight="1" x14ac:dyDescent="0.3">
      <c r="A44" s="25" t="s">
        <v>30</v>
      </c>
      <c r="B44" s="102">
        <f>SUM(B42:B43)</f>
        <v>1582.9634625000001</v>
      </c>
      <c r="C44" s="103">
        <f>SUM(C42:C43)</f>
        <v>2057.8525916666667</v>
      </c>
      <c r="D44" s="13"/>
    </row>
    <row r="45" spans="1:6" x14ac:dyDescent="0.3">
      <c r="A45" s="17"/>
      <c r="B45" s="105">
        <f>B44*12</f>
        <v>18995.561550000002</v>
      </c>
      <c r="C45" s="105">
        <f>C44*12</f>
        <v>24694.231100000001</v>
      </c>
      <c r="D45" s="13"/>
    </row>
    <row r="46" spans="1:6" x14ac:dyDescent="0.3">
      <c r="A46" s="17"/>
      <c r="B46" s="105"/>
      <c r="C46" s="105"/>
      <c r="D46" s="13"/>
    </row>
    <row r="47" spans="1:6" x14ac:dyDescent="0.3">
      <c r="A47" s="12"/>
      <c r="B47" s="88"/>
      <c r="C47" s="88"/>
      <c r="D47" s="13"/>
    </row>
    <row r="48" spans="1:6" ht="27.5" thickBot="1" x14ac:dyDescent="0.35">
      <c r="A48" s="143" t="s">
        <v>95</v>
      </c>
      <c r="B48" s="144" t="s">
        <v>9</v>
      </c>
      <c r="C48" s="145" t="s">
        <v>11</v>
      </c>
      <c r="D48" s="13"/>
    </row>
    <row r="49" spans="1:11" ht="16.5" customHeight="1" thickTop="1" x14ac:dyDescent="0.3">
      <c r="A49" s="24" t="s">
        <v>13</v>
      </c>
      <c r="B49" s="100">
        <f>(D64)/12</f>
        <v>1436.1567500000001</v>
      </c>
      <c r="C49" s="101">
        <f>(E64)/12</f>
        <v>1867.0041249999997</v>
      </c>
    </row>
    <row r="50" spans="1:11" ht="16.5" customHeight="1" x14ac:dyDescent="0.3">
      <c r="A50" s="24" t="s">
        <v>3</v>
      </c>
      <c r="B50" s="100">
        <f>B49/30*12/12</f>
        <v>47.87189166666667</v>
      </c>
      <c r="C50" s="101">
        <f>C49/30*12/12</f>
        <v>62.233470833333321</v>
      </c>
      <c r="D50" s="19"/>
    </row>
    <row r="51" spans="1:11" ht="16.5" customHeight="1" x14ac:dyDescent="0.3">
      <c r="A51" s="25" t="s">
        <v>30</v>
      </c>
      <c r="B51" s="102">
        <f>SUM(B49:B50)</f>
        <v>1484.0286416666668</v>
      </c>
      <c r="C51" s="103">
        <f>SUM(C49:C50)</f>
        <v>1929.237595833333</v>
      </c>
      <c r="D51" s="20"/>
    </row>
    <row r="52" spans="1:11" x14ac:dyDescent="0.3">
      <c r="B52" s="99">
        <f>B51*12</f>
        <v>17808.343700000001</v>
      </c>
      <c r="C52" s="99">
        <f>C51*12</f>
        <v>23150.851149999995</v>
      </c>
      <c r="D52" s="18"/>
    </row>
    <row r="54" spans="1:11" ht="14" thickBot="1" x14ac:dyDescent="0.35"/>
    <row r="55" spans="1:11" ht="12.75" customHeight="1" x14ac:dyDescent="0.3">
      <c r="A55" s="326" t="s">
        <v>106</v>
      </c>
      <c r="B55" s="326"/>
      <c r="C55" s="342"/>
      <c r="D55" s="28" t="s">
        <v>19</v>
      </c>
      <c r="E55" s="28" t="s">
        <v>19</v>
      </c>
      <c r="G55" s="326" t="s">
        <v>105</v>
      </c>
      <c r="H55" s="326"/>
      <c r="I55" s="322"/>
      <c r="J55" s="110" t="s">
        <v>19</v>
      </c>
      <c r="K55" s="110" t="s">
        <v>19</v>
      </c>
    </row>
    <row r="56" spans="1:11" ht="14" thickBot="1" x14ac:dyDescent="0.35">
      <c r="A56" s="327"/>
      <c r="B56" s="327"/>
      <c r="C56" s="343"/>
      <c r="D56" s="29" t="s">
        <v>20</v>
      </c>
      <c r="E56" s="29" t="s">
        <v>21</v>
      </c>
      <c r="G56" s="327"/>
      <c r="H56" s="327"/>
      <c r="I56" s="323"/>
      <c r="J56" s="111" t="s">
        <v>20</v>
      </c>
      <c r="K56" s="111" t="s">
        <v>21</v>
      </c>
    </row>
    <row r="57" spans="1:11" ht="14" thickBot="1" x14ac:dyDescent="0.35">
      <c r="A57" s="328" t="s">
        <v>22</v>
      </c>
      <c r="B57" s="329"/>
      <c r="C57" s="329"/>
      <c r="D57" s="329"/>
      <c r="E57" s="331"/>
      <c r="G57" s="313" t="s">
        <v>22</v>
      </c>
      <c r="H57" s="314"/>
      <c r="I57" s="314"/>
      <c r="J57" s="314"/>
      <c r="K57" s="315"/>
    </row>
    <row r="58" spans="1:11" ht="18" customHeight="1" x14ac:dyDescent="0.3">
      <c r="A58" s="332"/>
      <c r="B58" s="338" t="s">
        <v>43</v>
      </c>
      <c r="C58" s="339"/>
      <c r="D58" s="107">
        <f>5%*J58+J58</f>
        <v>32169.910499999998</v>
      </c>
      <c r="E58" s="107">
        <f>5%*K58+K58</f>
        <v>41820.880500000007</v>
      </c>
      <c r="G58" s="316"/>
      <c r="H58" s="324" t="s">
        <v>43</v>
      </c>
      <c r="I58" s="325"/>
      <c r="J58" s="107">
        <v>30638.01</v>
      </c>
      <c r="K58" s="107">
        <v>39829.410000000003</v>
      </c>
    </row>
    <row r="59" spans="1:11" ht="18" customHeight="1" x14ac:dyDescent="0.3">
      <c r="A59" s="332"/>
      <c r="B59" s="338" t="s">
        <v>44</v>
      </c>
      <c r="C59" s="339"/>
      <c r="D59" s="107">
        <f>5%*J59+J59</f>
        <v>26425.287</v>
      </c>
      <c r="E59" s="107">
        <f>5%*K59+K59</f>
        <v>34352.860499999995</v>
      </c>
      <c r="G59" s="316"/>
      <c r="H59" s="324" t="s">
        <v>44</v>
      </c>
      <c r="I59" s="325"/>
      <c r="J59" s="107">
        <v>25166.94</v>
      </c>
      <c r="K59" s="107">
        <v>32717.01</v>
      </c>
    </row>
    <row r="60" spans="1:11" ht="18" customHeight="1" thickBot="1" x14ac:dyDescent="0.35">
      <c r="A60" s="332"/>
      <c r="B60" s="338" t="s">
        <v>23</v>
      </c>
      <c r="C60" s="339"/>
      <c r="D60" s="138"/>
      <c r="E60" s="107"/>
      <c r="G60" s="316"/>
      <c r="H60" s="324" t="s">
        <v>23</v>
      </c>
      <c r="I60" s="325"/>
      <c r="J60" s="112"/>
      <c r="K60" s="112"/>
    </row>
    <row r="61" spans="1:11" ht="14" thickBot="1" x14ac:dyDescent="0.35">
      <c r="A61" s="328" t="s">
        <v>24</v>
      </c>
      <c r="B61" s="329"/>
      <c r="C61" s="329"/>
      <c r="D61" s="330"/>
      <c r="E61" s="331"/>
      <c r="G61" s="313" t="s">
        <v>24</v>
      </c>
      <c r="H61" s="314"/>
      <c r="I61" s="314"/>
      <c r="J61" s="314"/>
      <c r="K61" s="315"/>
    </row>
    <row r="62" spans="1:11" ht="18" customHeight="1" x14ac:dyDescent="0.3">
      <c r="A62" s="332"/>
      <c r="B62" s="334" t="s">
        <v>25</v>
      </c>
      <c r="C62" s="334"/>
      <c r="D62" s="108">
        <f t="shared" ref="D62:E64" si="0">5%*J62+J62</f>
        <v>19531.732500000002</v>
      </c>
      <c r="E62" s="108">
        <f t="shared" si="0"/>
        <v>25391.246999999999</v>
      </c>
      <c r="G62" s="316"/>
      <c r="H62" s="318" t="s">
        <v>25</v>
      </c>
      <c r="I62" s="318"/>
      <c r="J62" s="108">
        <v>18601.650000000001</v>
      </c>
      <c r="K62" s="108">
        <v>24182.14</v>
      </c>
    </row>
    <row r="63" spans="1:11" ht="18" customHeight="1" x14ac:dyDescent="0.3">
      <c r="A63" s="332"/>
      <c r="B63" s="335" t="s">
        <v>26</v>
      </c>
      <c r="C63" s="335"/>
      <c r="D63" s="109">
        <f t="shared" si="0"/>
        <v>18382.801500000001</v>
      </c>
      <c r="E63" s="109">
        <f t="shared" si="0"/>
        <v>23897.643</v>
      </c>
      <c r="G63" s="316"/>
      <c r="H63" s="319" t="s">
        <v>26</v>
      </c>
      <c r="I63" s="319"/>
      <c r="J63" s="213">
        <v>17507.43</v>
      </c>
      <c r="K63" s="213">
        <v>22759.66</v>
      </c>
    </row>
    <row r="64" spans="1:11" ht="18" customHeight="1" x14ac:dyDescent="0.3">
      <c r="A64" s="332"/>
      <c r="B64" s="336" t="s">
        <v>27</v>
      </c>
      <c r="C64" s="336"/>
      <c r="D64" s="109">
        <f t="shared" si="0"/>
        <v>17233.881000000001</v>
      </c>
      <c r="E64" s="109">
        <f t="shared" si="0"/>
        <v>22404.049499999997</v>
      </c>
      <c r="G64" s="316"/>
      <c r="H64" s="320" t="s">
        <v>27</v>
      </c>
      <c r="I64" s="320"/>
      <c r="J64" s="109">
        <v>16413.22</v>
      </c>
      <c r="K64" s="109">
        <v>21337.19</v>
      </c>
    </row>
    <row r="65" spans="1:11" ht="18" customHeight="1" x14ac:dyDescent="0.3">
      <c r="A65" s="332"/>
      <c r="B65" s="336" t="s">
        <v>28</v>
      </c>
      <c r="C65" s="336"/>
      <c r="D65" s="30"/>
      <c r="E65" s="30"/>
      <c r="G65" s="316"/>
      <c r="H65" s="320" t="s">
        <v>28</v>
      </c>
      <c r="I65" s="320"/>
      <c r="J65" s="113"/>
      <c r="K65" s="113"/>
    </row>
    <row r="66" spans="1:11" ht="18" customHeight="1" thickBot="1" x14ac:dyDescent="0.35">
      <c r="A66" s="333"/>
      <c r="B66" s="337" t="s">
        <v>29</v>
      </c>
      <c r="C66" s="337"/>
      <c r="D66" s="31"/>
      <c r="E66" s="31"/>
      <c r="G66" s="317"/>
      <c r="H66" s="321" t="s">
        <v>29</v>
      </c>
      <c r="I66" s="321"/>
      <c r="J66" s="114"/>
      <c r="K66" s="114"/>
    </row>
  </sheetData>
  <mergeCells count="30">
    <mergeCell ref="B60:C60"/>
    <mergeCell ref="B59:C59"/>
    <mergeCell ref="B58:C58"/>
    <mergeCell ref="A58:A60"/>
    <mergeCell ref="E13:F13"/>
    <mergeCell ref="A55:B56"/>
    <mergeCell ref="C55:C56"/>
    <mergeCell ref="A57:E57"/>
    <mergeCell ref="E25:F25"/>
    <mergeCell ref="A61:E61"/>
    <mergeCell ref="A62:A66"/>
    <mergeCell ref="B62:C62"/>
    <mergeCell ref="B63:C63"/>
    <mergeCell ref="B64:C64"/>
    <mergeCell ref="B65:C65"/>
    <mergeCell ref="B66:C66"/>
    <mergeCell ref="I55:I56"/>
    <mergeCell ref="G57:K57"/>
    <mergeCell ref="G58:G60"/>
    <mergeCell ref="H58:I58"/>
    <mergeCell ref="H59:I59"/>
    <mergeCell ref="H60:I60"/>
    <mergeCell ref="G55:H56"/>
    <mergeCell ref="G61:K61"/>
    <mergeCell ref="G62:G66"/>
    <mergeCell ref="H62:I62"/>
    <mergeCell ref="H63:I63"/>
    <mergeCell ref="H64:I64"/>
    <mergeCell ref="H65:I65"/>
    <mergeCell ref="H66:I66"/>
  </mergeCells>
  <phoneticPr fontId="0" type="noConversion"/>
  <pageMargins left="0.74803149606299213" right="0.31496062992125984" top="0.98425196850393704" bottom="0.98425196850393704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14</vt:i4>
      </vt:variant>
    </vt:vector>
  </HeadingPairs>
  <TitlesOfParts>
    <vt:vector size="23" baseType="lpstr">
      <vt:lpstr>INVESTIGADOR SENIOR</vt:lpstr>
      <vt:lpstr>INVESTIGADOR JUNIOR</vt:lpstr>
      <vt:lpstr>INVEST. EN FORMACIÓN-PRÁCTICAS</vt:lpstr>
      <vt:lpstr>TITULADOS SUPERIORES I</vt:lpstr>
      <vt:lpstr>TITULADOS SUPERIORES II</vt:lpstr>
      <vt:lpstr>TITULADOS DE GRADO MEDIO</vt:lpstr>
      <vt:lpstr>ESPECIALISTAS TECNICOS</vt:lpstr>
      <vt:lpstr>AUXILIARES</vt:lpstr>
      <vt:lpstr>PARAMETROS</vt:lpstr>
      <vt:lpstr>AUXILIARES!Área_de_impresión</vt:lpstr>
      <vt:lpstr>'INVEST. EN FORMACIÓN-PRÁCTICAS'!Área_de_impresión</vt:lpstr>
      <vt:lpstr>'INVESTIGADOR JUNIOR'!Área_de_impresión</vt:lpstr>
      <vt:lpstr>'INVESTIGADOR SENIOR'!Área_de_impresión</vt:lpstr>
      <vt:lpstr>'TITULADOS DE GRADO MEDIO'!Área_de_impresión</vt:lpstr>
      <vt:lpstr>'TITULADOS SUPERIORES I'!Área_de_impresión</vt:lpstr>
      <vt:lpstr>'TITULADOS SUPERIORES II'!Área_de_impresión</vt:lpstr>
      <vt:lpstr>AUXILIARES!Títulos_a_imprimir</vt:lpstr>
      <vt:lpstr>'INVEST. EN FORMACIÓN-PRÁCTICAS'!Títulos_a_imprimir</vt:lpstr>
      <vt:lpstr>'INVESTIGADOR JUNIOR'!Títulos_a_imprimir</vt:lpstr>
      <vt:lpstr>'INVESTIGADOR SENIOR'!Títulos_a_imprimir</vt:lpstr>
      <vt:lpstr>'TITULADOS DE GRADO MEDIO'!Títulos_a_imprimir</vt:lpstr>
      <vt:lpstr>'TITULADOS SUPERIORES I'!Títulos_a_imprimir</vt:lpstr>
      <vt:lpstr>'TITULADOS SUPERIORES II'!Títulos_a_imprimir</vt:lpstr>
    </vt:vector>
  </TitlesOfParts>
  <Company>oscar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gcremades@umh.es</dc:creator>
  <cp:lastModifiedBy>Fuentes Garcia, Susana</cp:lastModifiedBy>
  <cp:lastPrinted>2022-03-07T16:07:16Z</cp:lastPrinted>
  <dcterms:created xsi:type="dcterms:W3CDTF">2003-11-11T19:24:53Z</dcterms:created>
  <dcterms:modified xsi:type="dcterms:W3CDTF">2024-04-17T07:34:50Z</dcterms:modified>
</cp:coreProperties>
</file>